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1_5.bin" ContentType="application/vnd.openxmlformats-officedocument.oleObject"/>
  <Override PartName="/xl/embeddings/oleObject_1_6.bin" ContentType="application/vnd.openxmlformats-officedocument.oleObject"/>
  <Override PartName="/xl/embeddings/oleObject_1_7.bin" ContentType="application/vnd.openxmlformats-officedocument.oleObject"/>
  <Override PartName="/xl/embeddings/oleObject_1_8.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95" windowHeight="8190" activeTab="0"/>
  </bookViews>
  <sheets>
    <sheet name="Komory" sheetId="1" r:id="rId1"/>
    <sheet name="Conceptual Layout" sheetId="2" state="hidden" r:id="rId2"/>
  </sheets>
  <definedNames>
    <definedName name="chambers">'Komory'!$M$7:$M$9</definedName>
    <definedName name="chambers2">'Komory'!$M$14:$M$15</definedName>
    <definedName name="depth">'Komory'!$Q$3:$Q$5</definedName>
    <definedName name="dim">'Komory'!$N$38:$N$40</definedName>
    <definedName name="dim2">'Komory'!$N$37:$N$40</definedName>
    <definedName name="dim3">'Komory'!$N$38:$N$39</definedName>
    <definedName name="Excel_BuiltIn_Print_Area_1_1">'Komory'!$A$1:$I$43</definedName>
    <definedName name="_xlnm.Print_Area" localSheetId="0">'Komory'!$A$1:$I$50</definedName>
    <definedName name="stonedepth">'Komory'!$Q$2:$Q$5</definedName>
    <definedName name="Units">'Komory'!$O$38:$O$40</definedName>
    <definedName name="units2">'Komory'!$O$38:$O$39</definedName>
  </definedNames>
  <calcPr fullCalcOnLoad="1"/>
</workbook>
</file>

<file path=xl/comments1.xml><?xml version="1.0" encoding="utf-8"?>
<comments xmlns="http://schemas.openxmlformats.org/spreadsheetml/2006/main">
  <authors>
    <author>AA</author>
  </authors>
  <commentList>
    <comment ref="C28" authorId="0">
      <text>
        <r>
          <rPr>
            <b/>
            <sz val="8"/>
            <color indexed="10"/>
            <rFont val="Times New Roman"/>
            <family val="1"/>
          </rPr>
          <t xml:space="preserve">Attention:
</t>
        </r>
        <r>
          <rPr>
            <sz val="8"/>
            <color indexed="10"/>
            <rFont val="Times New Roman"/>
            <family val="1"/>
          </rPr>
          <t>Please check to ensure correct value is used for units shown.  When switching between Imperial and Metric units the width needs to be manually changed.</t>
        </r>
      </text>
    </comment>
    <comment ref="G28" authorId="0">
      <text>
        <r>
          <rPr>
            <b/>
            <sz val="8"/>
            <color indexed="10"/>
            <rFont val="Times New Roman"/>
            <family val="1"/>
          </rPr>
          <t xml:space="preserve">Attention:
</t>
        </r>
        <r>
          <rPr>
            <sz val="8"/>
            <color indexed="10"/>
            <rFont val="Times New Roman"/>
            <family val="1"/>
          </rPr>
          <t>Please check to ensure correct value is used for units shown.  When switching between Imperial and Metric units the length needs to be manually changed.</t>
        </r>
      </text>
    </comment>
    <comment ref="L33" authorId="0">
      <text>
        <r>
          <rPr>
            <b/>
            <sz val="8"/>
            <color indexed="8"/>
            <rFont val="Times New Roman"/>
            <family val="1"/>
          </rPr>
          <t xml:space="preserve">Ken Sanok:
</t>
        </r>
        <r>
          <rPr>
            <sz val="8"/>
            <color indexed="8"/>
            <rFont val="Times New Roman"/>
            <family val="1"/>
          </rPr>
          <t>used to determine width or length</t>
        </r>
      </text>
    </comment>
    <comment ref="L35" authorId="0">
      <text>
        <r>
          <rPr>
            <b/>
            <sz val="8"/>
            <color indexed="8"/>
            <rFont val="Times New Roman"/>
            <family val="1"/>
          </rPr>
          <t xml:space="preserve">Ken Sanok:
</t>
        </r>
        <r>
          <rPr>
            <sz val="8"/>
            <color indexed="8"/>
            <rFont val="Times New Roman"/>
            <family val="1"/>
          </rPr>
          <t>To control which units are used</t>
        </r>
      </text>
    </comment>
  </commentList>
</comments>
</file>

<file path=xl/sharedStrings.xml><?xml version="1.0" encoding="utf-8"?>
<sst xmlns="http://schemas.openxmlformats.org/spreadsheetml/2006/main" count="68" uniqueCount="55">
  <si>
    <t>Projekt:</t>
  </si>
  <si>
    <t>Lokalizacja:</t>
  </si>
  <si>
    <t>stone 6</t>
  </si>
  <si>
    <t>Układ jednostek</t>
  </si>
  <si>
    <t>Metric</t>
  </si>
  <si>
    <t>Kontakt:</t>
  </si>
  <si>
    <t>stone 12</t>
  </si>
  <si>
    <t>Data:</t>
  </si>
  <si>
    <t>stone 18</t>
  </si>
  <si>
    <t>Wymagania</t>
  </si>
  <si>
    <t>Storage Volume Per Chamber</t>
  </si>
  <si>
    <t>Wymagana pojemność magazynowa</t>
  </si>
  <si>
    <t>width</t>
  </si>
  <si>
    <t>Typ komór</t>
  </si>
  <si>
    <t>SC-740</t>
  </si>
  <si>
    <t>SC-310</t>
  </si>
  <si>
    <t xml:space="preserve">Porowatość tłucznia kamiennego </t>
  </si>
  <si>
    <t>Height</t>
  </si>
  <si>
    <t>Grubość fundamentu kamiennego</t>
  </si>
  <si>
    <t>Pojemność 1 komory</t>
  </si>
  <si>
    <t>Ilość potrzebnych komór</t>
  </si>
  <si>
    <t>sztuk</t>
  </si>
  <si>
    <t>Wymagana powierzchnia łożyska</t>
  </si>
  <si>
    <t>Objętość prac ziemnych</t>
  </si>
  <si>
    <t>CF</t>
  </si>
  <si>
    <t>Liczba pokryw skrajnych</t>
  </si>
  <si>
    <t>CM</t>
  </si>
  <si>
    <t>Długość separatora zanieczyszczeń  ISOLATOR</t>
  </si>
  <si>
    <t>Wymagana ilość geotkaniny pod separator</t>
  </si>
  <si>
    <t>Rozmiary łożyska są limitowane przez szer./długość</t>
  </si>
  <si>
    <t>Kontrola poprzez szerokość (Rzędy)</t>
  </si>
  <si>
    <t>Kontrola poprzez długość</t>
  </si>
  <si>
    <t xml:space="preserve">   </t>
  </si>
  <si>
    <t>Długość</t>
  </si>
  <si>
    <t>areas</t>
  </si>
  <si>
    <t>Liczba komór w rzędzie</t>
  </si>
  <si>
    <t>Liczba rzędów</t>
  </si>
  <si>
    <t>estimated perimeter</t>
  </si>
  <si>
    <t>Aktualna Długość</t>
  </si>
  <si>
    <t>Aktualna Szerokość</t>
  </si>
  <si>
    <t>Imperial</t>
  </si>
  <si>
    <t>length</t>
  </si>
  <si>
    <t>Szacunkowy arkusz kalkulacyjny</t>
  </si>
  <si>
    <t>Proszę wprowadzić pojemność i typ komór w pola błękitne oraz dane w pola zielone</t>
  </si>
  <si>
    <t>Ton</t>
  </si>
  <si>
    <t xml:space="preserve">Wy kam ton </t>
  </si>
  <si>
    <t>Szerokość (min 2m)</t>
  </si>
  <si>
    <t>Wymagana minim. ilość tkaniny filtracyjnej – geowłókniny</t>
  </si>
  <si>
    <t xml:space="preserve">Aktualna Szerokość </t>
  </si>
  <si>
    <t>m3</t>
  </si>
  <si>
    <t>Wymagania ilość tłucznia łamanego 30-60mm w m3</t>
  </si>
  <si>
    <t xml:space="preserve">Minimalna wymagana masa kamienia w tonach (1,8t na m3) </t>
  </si>
  <si>
    <t>-</t>
  </si>
  <si>
    <t>Ekobudex Retencja</t>
  </si>
  <si>
    <t>11-2023</t>
  </si>
</sst>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m/d/yy;@"/>
    <numFmt numFmtId="165" formatCode="d/mm/yyyy"/>
    <numFmt numFmtId="166" formatCode="_(* #,##0.00_);_(* \(#,##0.00\);_(* \-??_);_(@_)"/>
    <numFmt numFmtId="167" formatCode="_(* #,##0_);_(* \(#,##0\);_(* \-??_);_(@_)"/>
    <numFmt numFmtId="168" formatCode="0.0"/>
    <numFmt numFmtId="169" formatCode="#,##0.0"/>
    <numFmt numFmtId="170" formatCode="0.0000"/>
    <numFmt numFmtId="171" formatCode="#,##0.000"/>
    <numFmt numFmtId="172" formatCode="#,##0;[Red]\-#,##0"/>
    <numFmt numFmtId="173" formatCode="_(\$* #,##0.00_);_(\$* \(#,##0.00\);_(\$* \-??_);_(@_)"/>
    <numFmt numFmtId="174" formatCode="\$#,##0.00_);&quot;($&quot;#,##0.00\)"/>
    <numFmt numFmtId="175" formatCode="&quot;Tak&quot;;&quot;Tak&quot;;&quot;Nie&quot;"/>
    <numFmt numFmtId="176" formatCode="&quot;Prawda&quot;;&quot;Prawda&quot;;&quot;Fałsz&quot;"/>
    <numFmt numFmtId="177" formatCode="&quot;Włączone&quot;;&quot;Włączone&quot;;&quot;Wyłączone&quot;"/>
    <numFmt numFmtId="178" formatCode="[$€-2]\ #,##0.00_);[Red]\([$€-2]\ #,##0.00\)"/>
  </numFmts>
  <fonts count="54">
    <font>
      <sz val="10"/>
      <name val="Arial"/>
      <family val="2"/>
    </font>
    <font>
      <sz val="1"/>
      <name val="Arial"/>
      <family val="2"/>
    </font>
    <font>
      <sz val="10"/>
      <color indexed="8"/>
      <name val="Arial"/>
      <family val="2"/>
    </font>
    <font>
      <sz val="10"/>
      <color indexed="60"/>
      <name val="Arial"/>
      <family val="2"/>
    </font>
    <font>
      <b/>
      <sz val="10"/>
      <name val="Arial"/>
      <family val="2"/>
    </font>
    <font>
      <b/>
      <sz val="12"/>
      <name val="Arial"/>
      <family val="2"/>
    </font>
    <font>
      <sz val="10"/>
      <color indexed="10"/>
      <name val="Arial"/>
      <family val="2"/>
    </font>
    <font>
      <b/>
      <u val="single"/>
      <sz val="10"/>
      <name val="Arial"/>
      <family val="2"/>
    </font>
    <font>
      <b/>
      <sz val="8"/>
      <color indexed="10"/>
      <name val="Times New Roman"/>
      <family val="1"/>
    </font>
    <font>
      <sz val="8"/>
      <color indexed="10"/>
      <name val="Times New Roman"/>
      <family val="1"/>
    </font>
    <font>
      <sz val="9"/>
      <color indexed="10"/>
      <name val="Arial"/>
      <family val="2"/>
    </font>
    <font>
      <b/>
      <sz val="8"/>
      <color indexed="8"/>
      <name val="Times New Roman"/>
      <family val="1"/>
    </font>
    <font>
      <sz val="8"/>
      <color indexed="8"/>
      <name val="Times New Roman"/>
      <family val="1"/>
    </font>
    <font>
      <b/>
      <sz val="12"/>
      <color indexed="12"/>
      <name val="Arial"/>
      <family val="2"/>
    </font>
    <font>
      <i/>
      <sz val="10"/>
      <name val="Arial"/>
      <family val="2"/>
    </font>
    <font>
      <sz val="9"/>
      <name val="Arial"/>
      <family val="2"/>
    </font>
    <font>
      <b/>
      <sz val="10"/>
      <color indexed="10"/>
      <name val="Arial"/>
      <family val="2"/>
    </font>
    <font>
      <sz val="10"/>
      <color indexed="9"/>
      <name val="Arial"/>
      <family val="2"/>
    </font>
    <font>
      <b/>
      <sz val="9"/>
      <name val="Arial"/>
      <family val="2"/>
    </font>
    <font>
      <sz val="14"/>
      <color indexed="8"/>
      <name val="Calibri"/>
      <family val="2"/>
    </font>
    <font>
      <sz val="14"/>
      <color indexed="9"/>
      <name val="Calibri"/>
      <family val="2"/>
    </font>
    <font>
      <sz val="14"/>
      <color indexed="62"/>
      <name val="Calibri"/>
      <family val="2"/>
    </font>
    <font>
      <b/>
      <sz val="14"/>
      <color indexed="63"/>
      <name val="Calibri"/>
      <family val="2"/>
    </font>
    <font>
      <sz val="14"/>
      <color indexed="17"/>
      <name val="Calibri"/>
      <family val="2"/>
    </font>
    <font>
      <sz val="14"/>
      <color indexed="52"/>
      <name val="Calibri"/>
      <family val="2"/>
    </font>
    <font>
      <b/>
      <sz val="14"/>
      <color indexed="9"/>
      <name val="Calibri"/>
      <family val="2"/>
    </font>
    <font>
      <b/>
      <sz val="15"/>
      <color indexed="56"/>
      <name val="Calibri"/>
      <family val="2"/>
    </font>
    <font>
      <b/>
      <sz val="13"/>
      <color indexed="56"/>
      <name val="Calibri"/>
      <family val="2"/>
    </font>
    <font>
      <b/>
      <sz val="11"/>
      <color indexed="56"/>
      <name val="Calibri"/>
      <family val="2"/>
    </font>
    <font>
      <sz val="14"/>
      <color indexed="60"/>
      <name val="Calibri"/>
      <family val="2"/>
    </font>
    <font>
      <b/>
      <sz val="14"/>
      <color indexed="52"/>
      <name val="Calibri"/>
      <family val="2"/>
    </font>
    <font>
      <b/>
      <sz val="14"/>
      <color indexed="8"/>
      <name val="Calibri"/>
      <family val="2"/>
    </font>
    <font>
      <i/>
      <sz val="14"/>
      <color indexed="23"/>
      <name val="Calibri"/>
      <family val="2"/>
    </font>
    <font>
      <sz val="14"/>
      <color indexed="10"/>
      <name val="Calibri"/>
      <family val="2"/>
    </font>
    <font>
      <b/>
      <sz val="18"/>
      <color indexed="56"/>
      <name val="Cambria"/>
      <family val="2"/>
    </font>
    <font>
      <sz val="14"/>
      <color indexed="20"/>
      <name val="Calibri"/>
      <family val="2"/>
    </font>
    <font>
      <sz val="14"/>
      <color theme="1"/>
      <name val="Calibri"/>
      <family val="2"/>
    </font>
    <font>
      <sz val="14"/>
      <color theme="0"/>
      <name val="Calibri"/>
      <family val="2"/>
    </font>
    <font>
      <sz val="14"/>
      <color rgb="FF3F3F76"/>
      <name val="Calibri"/>
      <family val="2"/>
    </font>
    <font>
      <b/>
      <sz val="14"/>
      <color rgb="FF3F3F3F"/>
      <name val="Calibri"/>
      <family val="2"/>
    </font>
    <font>
      <sz val="14"/>
      <color rgb="FF006100"/>
      <name val="Calibri"/>
      <family val="2"/>
    </font>
    <font>
      <sz val="14"/>
      <color rgb="FFFA7D00"/>
      <name val="Calibri"/>
      <family val="2"/>
    </font>
    <font>
      <b/>
      <sz val="14"/>
      <color theme="0"/>
      <name val="Calibri"/>
      <family val="2"/>
    </font>
    <font>
      <b/>
      <sz val="15"/>
      <color theme="3"/>
      <name val="Calibri"/>
      <family val="2"/>
    </font>
    <font>
      <b/>
      <sz val="13"/>
      <color theme="3"/>
      <name val="Calibri"/>
      <family val="2"/>
    </font>
    <font>
      <b/>
      <sz val="11"/>
      <color theme="3"/>
      <name val="Calibri"/>
      <family val="2"/>
    </font>
    <font>
      <sz val="14"/>
      <color rgb="FF9C6500"/>
      <name val="Calibri"/>
      <family val="2"/>
    </font>
    <font>
      <b/>
      <sz val="14"/>
      <color rgb="FFFA7D00"/>
      <name val="Calibri"/>
      <family val="2"/>
    </font>
    <font>
      <b/>
      <sz val="14"/>
      <color theme="1"/>
      <name val="Calibri"/>
      <family val="2"/>
    </font>
    <font>
      <i/>
      <sz val="14"/>
      <color rgb="FF7F7F7F"/>
      <name val="Calibri"/>
      <family val="2"/>
    </font>
    <font>
      <sz val="14"/>
      <color rgb="FFFF0000"/>
      <name val="Calibri"/>
      <family val="2"/>
    </font>
    <font>
      <b/>
      <sz val="18"/>
      <color theme="3"/>
      <name val="Cambria"/>
      <family val="2"/>
    </font>
    <font>
      <sz val="14"/>
      <color rgb="FF9C0006"/>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27"/>
        <bgColor indexed="64"/>
      </patternFill>
    </fill>
    <fill>
      <patternFill patternType="solid">
        <fgColor indexed="10"/>
        <bgColor indexed="64"/>
      </patternFill>
    </fill>
    <fill>
      <patternFill patternType="solid">
        <fgColor indexed="11"/>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thin"/>
      <right>
        <color indexed="63"/>
      </right>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medium">
        <color indexed="8"/>
      </top>
      <bottom style="medium">
        <color indexed="8"/>
      </bottom>
    </border>
    <border>
      <left style="medium">
        <color indexed="8"/>
      </left>
      <right style="medium">
        <color indexed="8"/>
      </right>
      <top>
        <color indexed="63"/>
      </top>
      <bottom>
        <color indexed="63"/>
      </bottom>
    </border>
    <border>
      <left>
        <color indexed="63"/>
      </left>
      <right style="medium">
        <color indexed="8"/>
      </right>
      <top>
        <color indexed="63"/>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166" fontId="0" fillId="0" borderId="0" applyFill="0" applyBorder="0" applyAlignment="0" applyProtection="0"/>
    <xf numFmtId="41" fontId="0" fillId="0" borderId="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27" borderId="1" applyNumberFormat="0" applyAlignment="0" applyProtection="0"/>
    <xf numFmtId="9" fontId="0" fillId="0" borderId="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173" fontId="0" fillId="0" borderId="0" applyFill="0" applyBorder="0" applyAlignment="0" applyProtection="0"/>
    <xf numFmtId="42" fontId="0" fillId="0" borderId="0" applyFill="0" applyBorder="0" applyAlignment="0" applyProtection="0"/>
    <xf numFmtId="0" fontId="52" fillId="32" borderId="0" applyNumberFormat="0" applyBorder="0" applyAlignment="0" applyProtection="0"/>
  </cellStyleXfs>
  <cellXfs count="129">
    <xf numFmtId="0" fontId="0" fillId="0" borderId="0" xfId="0" applyFont="1" applyAlignment="1">
      <alignment/>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10" xfId="0" applyFont="1" applyBorder="1" applyAlignment="1" applyProtection="1">
      <alignment/>
      <protection/>
    </xf>
    <xf numFmtId="0" fontId="0" fillId="0" borderId="11" xfId="0" applyFont="1" applyBorder="1" applyAlignment="1" applyProtection="1">
      <alignment/>
      <protection/>
    </xf>
    <xf numFmtId="0" fontId="0" fillId="0" borderId="12" xfId="0" applyFont="1" applyBorder="1" applyAlignment="1" applyProtection="1">
      <alignment horizontal="center"/>
      <protection/>
    </xf>
    <xf numFmtId="0" fontId="0" fillId="0" borderId="13"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horizontal="left"/>
      <protection/>
    </xf>
    <xf numFmtId="0" fontId="0" fillId="0" borderId="0" xfId="0" applyFont="1" applyBorder="1" applyAlignment="1" applyProtection="1">
      <alignment horizontal="right"/>
      <protection/>
    </xf>
    <xf numFmtId="0" fontId="0" fillId="0" borderId="0" xfId="0" applyFont="1" applyBorder="1" applyAlignment="1" applyProtection="1">
      <alignment horizontal="center"/>
      <protection/>
    </xf>
    <xf numFmtId="0" fontId="1" fillId="0" borderId="0" xfId="0" applyFont="1" applyAlignment="1" applyProtection="1">
      <alignment/>
      <protection/>
    </xf>
    <xf numFmtId="0" fontId="0" fillId="0" borderId="0" xfId="0" applyFont="1" applyFill="1" applyAlignment="1" applyProtection="1">
      <alignment/>
      <protection/>
    </xf>
    <xf numFmtId="0" fontId="0" fillId="0" borderId="14" xfId="0" applyFont="1" applyBorder="1" applyAlignment="1" applyProtection="1">
      <alignment horizontal="center"/>
      <protection/>
    </xf>
    <xf numFmtId="0" fontId="3" fillId="0" borderId="0" xfId="0" applyFont="1" applyAlignment="1" applyProtection="1">
      <alignment/>
      <protection/>
    </xf>
    <xf numFmtId="0" fontId="0" fillId="0" borderId="0"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164" fontId="0" fillId="0" borderId="0" xfId="0" applyNumberFormat="1" applyFont="1" applyFill="1" applyBorder="1" applyAlignment="1" applyProtection="1">
      <alignment horizontal="left"/>
      <protection/>
    </xf>
    <xf numFmtId="0" fontId="0" fillId="33" borderId="15" xfId="0" applyFont="1" applyFill="1" applyBorder="1" applyAlignment="1" applyProtection="1">
      <alignment/>
      <protection/>
    </xf>
    <xf numFmtId="0" fontId="0" fillId="33" borderId="16" xfId="0" applyFont="1" applyFill="1" applyBorder="1" applyAlignment="1" applyProtection="1">
      <alignment horizontal="center"/>
      <protection/>
    </xf>
    <xf numFmtId="167" fontId="4" fillId="34" borderId="17" xfId="42" applyNumberFormat="1" applyFont="1" applyFill="1" applyBorder="1" applyAlignment="1" applyProtection="1">
      <alignment/>
      <protection locked="0"/>
    </xf>
    <xf numFmtId="0" fontId="0" fillId="0" borderId="17" xfId="0" applyFont="1" applyBorder="1" applyAlignment="1" applyProtection="1">
      <alignment horizontal="center"/>
      <protection/>
    </xf>
    <xf numFmtId="0" fontId="0" fillId="0" borderId="0" xfId="0" applyFont="1" applyBorder="1" applyAlignment="1" applyProtection="1">
      <alignment vertical="center"/>
      <protection/>
    </xf>
    <xf numFmtId="0" fontId="0" fillId="34" borderId="17" xfId="0" applyFont="1" applyFill="1" applyBorder="1" applyAlignment="1" applyProtection="1">
      <alignment horizontal="right"/>
      <protection locked="0"/>
    </xf>
    <xf numFmtId="0" fontId="3" fillId="0" borderId="17" xfId="0" applyFont="1" applyBorder="1" applyAlignment="1" applyProtection="1">
      <alignment horizontal="center"/>
      <protection/>
    </xf>
    <xf numFmtId="168" fontId="3" fillId="0" borderId="0" xfId="0" applyNumberFormat="1" applyFont="1" applyAlignment="1" applyProtection="1">
      <alignment/>
      <protection/>
    </xf>
    <xf numFmtId="0" fontId="6" fillId="0" borderId="0" xfId="0" applyFont="1" applyBorder="1" applyAlignment="1" applyProtection="1">
      <alignment/>
      <protection/>
    </xf>
    <xf numFmtId="9" fontId="4" fillId="0" borderId="0" xfId="0" applyNumberFormat="1" applyFont="1" applyFill="1" applyBorder="1" applyAlignment="1" applyProtection="1">
      <alignment horizontal="center"/>
      <protection/>
    </xf>
    <xf numFmtId="0" fontId="3" fillId="35" borderId="17" xfId="0" applyFont="1" applyFill="1" applyBorder="1" applyAlignment="1" applyProtection="1">
      <alignment horizontal="center"/>
      <protection/>
    </xf>
    <xf numFmtId="168" fontId="0" fillId="0" borderId="0" xfId="0" applyNumberFormat="1" applyFont="1" applyAlignment="1" applyProtection="1">
      <alignment/>
      <protection/>
    </xf>
    <xf numFmtId="0" fontId="0" fillId="36" borderId="17" xfId="0" applyFont="1" applyFill="1" applyBorder="1" applyAlignment="1" applyProtection="1">
      <alignment horizontal="right" vertical="center"/>
      <protection locked="0"/>
    </xf>
    <xf numFmtId="0" fontId="0" fillId="0" borderId="0" xfId="0" applyFont="1" applyBorder="1" applyAlignment="1" applyProtection="1">
      <alignment horizontal="left" vertical="center"/>
      <protection/>
    </xf>
    <xf numFmtId="169" fontId="4" fillId="0" borderId="0" xfId="0" applyNumberFormat="1" applyFont="1" applyBorder="1" applyAlignment="1" applyProtection="1">
      <alignment horizontal="right" vertical="center" wrapText="1"/>
      <protection/>
    </xf>
    <xf numFmtId="169" fontId="0" fillId="0" borderId="14" xfId="0" applyNumberFormat="1" applyFont="1" applyBorder="1" applyAlignment="1" applyProtection="1">
      <alignment horizontal="center" vertical="center" wrapText="1"/>
      <protection/>
    </xf>
    <xf numFmtId="169" fontId="0" fillId="0" borderId="0" xfId="0" applyNumberFormat="1" applyFont="1" applyBorder="1" applyAlignment="1" applyProtection="1">
      <alignment horizontal="center" vertical="center" wrapText="1"/>
      <protection/>
    </xf>
    <xf numFmtId="4" fontId="0" fillId="0" borderId="0" xfId="0" applyNumberFormat="1" applyFont="1" applyBorder="1" applyAlignment="1" applyProtection="1">
      <alignment horizontal="right"/>
      <protection/>
    </xf>
    <xf numFmtId="0" fontId="0" fillId="37" borderId="0" xfId="0" applyFont="1" applyFill="1" applyBorder="1" applyAlignment="1" applyProtection="1">
      <alignment horizontal="center"/>
      <protection/>
    </xf>
    <xf numFmtId="0" fontId="0" fillId="36" borderId="17" xfId="0" applyNumberFormat="1" applyFont="1" applyFill="1" applyBorder="1" applyAlignment="1" applyProtection="1">
      <alignment/>
      <protection locked="0"/>
    </xf>
    <xf numFmtId="0" fontId="0" fillId="0" borderId="0" xfId="0" applyFont="1" applyBorder="1" applyAlignment="1" applyProtection="1">
      <alignment horizontal="left"/>
      <protection/>
    </xf>
    <xf numFmtId="0" fontId="0" fillId="0" borderId="14" xfId="0" applyFont="1" applyBorder="1" applyAlignment="1" applyProtection="1">
      <alignment horizontal="right"/>
      <protection/>
    </xf>
    <xf numFmtId="0" fontId="6" fillId="0" borderId="0" xfId="0" applyFont="1" applyBorder="1" applyAlignment="1" applyProtection="1">
      <alignment horizontal="left"/>
      <protection/>
    </xf>
    <xf numFmtId="2" fontId="3" fillId="0" borderId="0" xfId="0" applyNumberFormat="1" applyFont="1" applyAlignment="1" applyProtection="1">
      <alignment/>
      <protection/>
    </xf>
    <xf numFmtId="167" fontId="4" fillId="0" borderId="0" xfId="42" applyNumberFormat="1" applyFont="1" applyFill="1" applyBorder="1" applyAlignment="1" applyProtection="1">
      <alignment/>
      <protection/>
    </xf>
    <xf numFmtId="3" fontId="4" fillId="0" borderId="0" xfId="0" applyNumberFormat="1" applyFont="1" applyBorder="1" applyAlignment="1" applyProtection="1">
      <alignment horizontal="right"/>
      <protection/>
    </xf>
    <xf numFmtId="3" fontId="0" fillId="0" borderId="0" xfId="0" applyNumberFormat="1" applyFont="1" applyBorder="1" applyAlignment="1" applyProtection="1">
      <alignment horizontal="center"/>
      <protection/>
    </xf>
    <xf numFmtId="167" fontId="0" fillId="0" borderId="0" xfId="42" applyNumberFormat="1" applyFont="1" applyFill="1" applyBorder="1" applyAlignment="1" applyProtection="1">
      <alignment/>
      <protection/>
    </xf>
    <xf numFmtId="0" fontId="0" fillId="0" borderId="0" xfId="0" applyFont="1" applyFill="1" applyBorder="1" applyAlignment="1" applyProtection="1">
      <alignment/>
      <protection/>
    </xf>
    <xf numFmtId="167" fontId="0" fillId="0" borderId="0" xfId="0" applyNumberFormat="1" applyFont="1" applyFill="1" applyBorder="1" applyAlignment="1" applyProtection="1">
      <alignment horizontal="center"/>
      <protection/>
    </xf>
    <xf numFmtId="0" fontId="4" fillId="0" borderId="0" xfId="0" applyFont="1" applyFill="1" applyBorder="1" applyAlignment="1" applyProtection="1">
      <alignment/>
      <protection/>
    </xf>
    <xf numFmtId="3" fontId="4" fillId="0" borderId="0" xfId="0" applyNumberFormat="1" applyFont="1" applyFill="1" applyBorder="1" applyAlignment="1" applyProtection="1">
      <alignment/>
      <protection/>
    </xf>
    <xf numFmtId="0" fontId="7" fillId="0" borderId="0" xfId="0" applyFont="1" applyFill="1" applyBorder="1" applyAlignment="1" applyProtection="1">
      <alignment horizontal="center"/>
      <protection/>
    </xf>
    <xf numFmtId="0" fontId="4" fillId="33" borderId="15" xfId="0" applyFont="1" applyFill="1" applyBorder="1" applyAlignment="1" applyProtection="1">
      <alignment horizontal="center"/>
      <protection/>
    </xf>
    <xf numFmtId="0" fontId="0" fillId="0" borderId="10" xfId="0" applyFont="1" applyBorder="1" applyAlignment="1" applyProtection="1">
      <alignment horizontal="left" vertical="center"/>
      <protection/>
    </xf>
    <xf numFmtId="0" fontId="0" fillId="0" borderId="14" xfId="0" applyFont="1" applyFill="1" applyBorder="1" applyAlignment="1" applyProtection="1">
      <alignment horizontal="center"/>
      <protection/>
    </xf>
    <xf numFmtId="4" fontId="0" fillId="0" borderId="0" xfId="0" applyNumberFormat="1" applyFont="1" applyAlignment="1" applyProtection="1">
      <alignment/>
      <protection/>
    </xf>
    <xf numFmtId="3" fontId="0" fillId="0" borderId="0" xfId="0" applyNumberFormat="1" applyFont="1" applyAlignment="1" applyProtection="1">
      <alignment/>
      <protection/>
    </xf>
    <xf numFmtId="1" fontId="0" fillId="0" borderId="0" xfId="0" applyNumberFormat="1" applyFont="1" applyBorder="1" applyAlignment="1" applyProtection="1">
      <alignment horizontal="right"/>
      <protection/>
    </xf>
    <xf numFmtId="171" fontId="0" fillId="0" borderId="0" xfId="0" applyNumberFormat="1" applyFont="1" applyAlignment="1" applyProtection="1">
      <alignment/>
      <protection/>
    </xf>
    <xf numFmtId="0" fontId="3" fillId="0" borderId="0" xfId="0" applyFont="1" applyBorder="1" applyAlignment="1" applyProtection="1">
      <alignment horizontal="center"/>
      <protection/>
    </xf>
    <xf numFmtId="0" fontId="0" fillId="0" borderId="0" xfId="0" applyNumberFormat="1" applyFont="1" applyAlignment="1" applyProtection="1">
      <alignment/>
      <protection/>
    </xf>
    <xf numFmtId="0" fontId="0" fillId="0" borderId="13" xfId="0" applyFont="1" applyBorder="1" applyAlignment="1" applyProtection="1">
      <alignment horizontal="left" vertical="center"/>
      <protection/>
    </xf>
    <xf numFmtId="0" fontId="6" fillId="0" borderId="13" xfId="0" applyFont="1" applyBorder="1" applyAlignment="1" applyProtection="1">
      <alignment/>
      <protection/>
    </xf>
    <xf numFmtId="0" fontId="6" fillId="0" borderId="0" xfId="0" applyFont="1" applyBorder="1" applyAlignment="1" applyProtection="1">
      <alignment horizontal="center"/>
      <protection/>
    </xf>
    <xf numFmtId="0" fontId="6" fillId="0" borderId="14" xfId="0" applyFont="1" applyBorder="1" applyAlignment="1" applyProtection="1">
      <alignment horizontal="left"/>
      <protection/>
    </xf>
    <xf numFmtId="0" fontId="0" fillId="0" borderId="18" xfId="0" applyFont="1" applyBorder="1" applyAlignment="1" applyProtection="1">
      <alignment/>
      <protection/>
    </xf>
    <xf numFmtId="0" fontId="0" fillId="0" borderId="19" xfId="0" applyFont="1" applyBorder="1" applyAlignment="1" applyProtection="1">
      <alignment/>
      <protection/>
    </xf>
    <xf numFmtId="0" fontId="0" fillId="0" borderId="20" xfId="0" applyFont="1" applyBorder="1" applyAlignment="1" applyProtection="1">
      <alignment horizontal="center"/>
      <protection/>
    </xf>
    <xf numFmtId="0" fontId="0" fillId="0" borderId="15" xfId="0" applyFont="1" applyFill="1" applyBorder="1" applyAlignment="1" applyProtection="1">
      <alignment/>
      <protection/>
    </xf>
    <xf numFmtId="0" fontId="0" fillId="0" borderId="16" xfId="0" applyFont="1" applyFill="1" applyBorder="1" applyAlignment="1" applyProtection="1">
      <alignment horizontal="center"/>
      <protection/>
    </xf>
    <xf numFmtId="0" fontId="0" fillId="0" borderId="16" xfId="0" applyFont="1" applyFill="1" applyBorder="1" applyAlignment="1" applyProtection="1">
      <alignment horizontal="center" wrapText="1"/>
      <protection/>
    </xf>
    <xf numFmtId="0" fontId="0" fillId="0" borderId="0" xfId="0" applyFont="1" applyFill="1" applyBorder="1" applyAlignment="1" applyProtection="1">
      <alignment horizontal="center" wrapText="1"/>
      <protection/>
    </xf>
    <xf numFmtId="172" fontId="0" fillId="0" borderId="0" xfId="0" applyNumberFormat="1" applyFont="1" applyFill="1" applyAlignment="1" applyProtection="1">
      <alignment/>
      <protection/>
    </xf>
    <xf numFmtId="0" fontId="0" fillId="0" borderId="0" xfId="0" applyFont="1" applyFill="1" applyAlignment="1" applyProtection="1">
      <alignment horizontal="right"/>
      <protection/>
    </xf>
    <xf numFmtId="174" fontId="0" fillId="0" borderId="0" xfId="58" applyNumberFormat="1" applyFont="1" applyFill="1" applyBorder="1" applyAlignment="1" applyProtection="1">
      <alignment horizontal="center"/>
      <protection/>
    </xf>
    <xf numFmtId="4" fontId="0" fillId="0" borderId="0" xfId="0" applyNumberFormat="1" applyFont="1" applyFill="1" applyAlignment="1" applyProtection="1">
      <alignment/>
      <protection/>
    </xf>
    <xf numFmtId="0" fontId="0" fillId="0" borderId="21" xfId="0" applyFont="1" applyBorder="1" applyAlignment="1">
      <alignment/>
    </xf>
    <xf numFmtId="0" fontId="0" fillId="0" borderId="22" xfId="0" applyFont="1" applyBorder="1" applyAlignment="1">
      <alignment/>
    </xf>
    <xf numFmtId="0" fontId="0" fillId="0" borderId="23" xfId="0" applyFont="1" applyBorder="1" applyAlignment="1">
      <alignment/>
    </xf>
    <xf numFmtId="169" fontId="5" fillId="0" borderId="0" xfId="0" applyNumberFormat="1" applyFont="1" applyAlignment="1">
      <alignment horizontal="center" vertical="top"/>
    </xf>
    <xf numFmtId="0" fontId="0" fillId="0" borderId="24" xfId="0" applyFont="1" applyBorder="1" applyAlignment="1">
      <alignment/>
    </xf>
    <xf numFmtId="0" fontId="0" fillId="0" borderId="0" xfId="0" applyFont="1" applyBorder="1" applyAlignment="1">
      <alignment/>
    </xf>
    <xf numFmtId="0" fontId="5" fillId="0" borderId="0" xfId="0" applyFont="1" applyAlignment="1">
      <alignment horizontal="right" vertical="center"/>
    </xf>
    <xf numFmtId="4" fontId="5" fillId="0" borderId="0" xfId="0" applyNumberFormat="1" applyFont="1" applyBorder="1" applyAlignment="1" applyProtection="1">
      <alignment/>
      <protection/>
    </xf>
    <xf numFmtId="172" fontId="5" fillId="0" borderId="0" xfId="0" applyNumberFormat="1" applyFont="1" applyFill="1" applyAlignment="1" applyProtection="1">
      <alignment/>
      <protection/>
    </xf>
    <xf numFmtId="2" fontId="0" fillId="0" borderId="0" xfId="58" applyNumberFormat="1" applyFont="1" applyFill="1" applyBorder="1" applyAlignment="1" applyProtection="1">
      <alignment horizontal="center"/>
      <protection/>
    </xf>
    <xf numFmtId="11" fontId="0" fillId="0" borderId="0" xfId="0" applyNumberFormat="1" applyFont="1" applyAlignment="1" applyProtection="1">
      <alignment horizontal="center"/>
      <protection/>
    </xf>
    <xf numFmtId="0" fontId="16" fillId="0" borderId="0" xfId="0" applyFont="1" applyAlignment="1" applyProtection="1">
      <alignment/>
      <protection/>
    </xf>
    <xf numFmtId="167" fontId="0" fillId="0" borderId="0" xfId="0" applyNumberFormat="1" applyFont="1" applyAlignment="1" applyProtection="1">
      <alignment/>
      <protection/>
    </xf>
    <xf numFmtId="171" fontId="0" fillId="0" borderId="0" xfId="0" applyNumberFormat="1" applyFont="1" applyFill="1" applyAlignment="1" applyProtection="1">
      <alignment/>
      <protection/>
    </xf>
    <xf numFmtId="0" fontId="16" fillId="0" borderId="0" xfId="0" applyFont="1" applyBorder="1" applyAlignment="1" applyProtection="1">
      <alignment horizontal="right"/>
      <protection/>
    </xf>
    <xf numFmtId="0" fontId="4" fillId="0" borderId="0" xfId="0" applyFont="1" applyFill="1" applyAlignment="1" applyProtection="1">
      <alignment horizontal="right"/>
      <protection/>
    </xf>
    <xf numFmtId="172" fontId="0" fillId="0" borderId="0" xfId="0" applyNumberFormat="1" applyFont="1" applyAlignment="1" applyProtection="1">
      <alignment/>
      <protection/>
    </xf>
    <xf numFmtId="0" fontId="0" fillId="0" borderId="25" xfId="0" applyFont="1" applyBorder="1" applyAlignment="1" applyProtection="1">
      <alignment/>
      <protection/>
    </xf>
    <xf numFmtId="0" fontId="0" fillId="0" borderId="26" xfId="0" applyFont="1" applyFill="1" applyBorder="1" applyAlignment="1" applyProtection="1">
      <alignment/>
      <protection/>
    </xf>
    <xf numFmtId="0" fontId="0" fillId="0" borderId="27" xfId="0" applyFont="1" applyBorder="1" applyAlignment="1" applyProtection="1">
      <alignment/>
      <protection/>
    </xf>
    <xf numFmtId="168" fontId="0" fillId="0" borderId="27" xfId="42" applyNumberFormat="1" applyFont="1" applyFill="1" applyBorder="1" applyAlignment="1" applyProtection="1">
      <alignment/>
      <protection/>
    </xf>
    <xf numFmtId="167" fontId="0" fillId="0" borderId="27" xfId="42" applyNumberFormat="1" applyFont="1" applyFill="1" applyBorder="1" applyAlignment="1" applyProtection="1">
      <alignment/>
      <protection/>
    </xf>
    <xf numFmtId="2" fontId="4" fillId="0" borderId="0" xfId="0" applyNumberFormat="1" applyFont="1" applyBorder="1" applyAlignment="1" applyProtection="1">
      <alignment horizontal="right"/>
      <protection/>
    </xf>
    <xf numFmtId="0" fontId="4" fillId="0" borderId="0" xfId="0" applyFont="1" applyBorder="1" applyAlignment="1" applyProtection="1">
      <alignment/>
      <protection/>
    </xf>
    <xf numFmtId="0" fontId="17" fillId="0" borderId="0" xfId="0" applyFont="1" applyBorder="1" applyAlignment="1" applyProtection="1">
      <alignment/>
      <protection/>
    </xf>
    <xf numFmtId="0" fontId="17" fillId="0" borderId="0" xfId="0" applyFont="1" applyBorder="1" applyAlignment="1" applyProtection="1">
      <alignment horizontal="left" vertical="center"/>
      <protection/>
    </xf>
    <xf numFmtId="0" fontId="17" fillId="0" borderId="0" xfId="0" applyFont="1" applyFill="1" applyBorder="1" applyAlignment="1" applyProtection="1">
      <alignment/>
      <protection/>
    </xf>
    <xf numFmtId="3" fontId="17" fillId="0" borderId="0" xfId="0" applyNumberFormat="1" applyFont="1" applyFill="1" applyBorder="1" applyAlignment="1" applyProtection="1">
      <alignment/>
      <protection/>
    </xf>
    <xf numFmtId="4" fontId="4" fillId="0" borderId="0" xfId="0" applyNumberFormat="1" applyFont="1" applyAlignment="1" applyProtection="1">
      <alignment/>
      <protection/>
    </xf>
    <xf numFmtId="0" fontId="18" fillId="0" borderId="0" xfId="0" applyFont="1" applyAlignment="1" applyProtection="1">
      <alignment/>
      <protection/>
    </xf>
    <xf numFmtId="0" fontId="15" fillId="0" borderId="11" xfId="0" applyFont="1" applyBorder="1" applyAlignment="1" applyProtection="1">
      <alignment/>
      <protection/>
    </xf>
    <xf numFmtId="0" fontId="15" fillId="0" borderId="0" xfId="0" applyFont="1" applyBorder="1" applyAlignment="1" applyProtection="1">
      <alignment/>
      <protection/>
    </xf>
    <xf numFmtId="174" fontId="16" fillId="0" borderId="0" xfId="58" applyNumberFormat="1" applyFont="1" applyFill="1" applyBorder="1" applyAlignment="1" applyProtection="1">
      <alignment/>
      <protection/>
    </xf>
    <xf numFmtId="0" fontId="2" fillId="0" borderId="0" xfId="0" applyFont="1" applyAlignment="1" applyProtection="1">
      <alignment horizontal="right"/>
      <protection/>
    </xf>
    <xf numFmtId="0" fontId="4" fillId="34" borderId="17" xfId="0" applyFont="1" applyFill="1" applyBorder="1" applyAlignment="1" applyProtection="1">
      <alignment horizontal="center"/>
      <protection/>
    </xf>
    <xf numFmtId="9" fontId="4" fillId="34" borderId="17" xfId="0" applyNumberFormat="1" applyFont="1" applyFill="1" applyBorder="1" applyAlignment="1" applyProtection="1">
      <alignment horizontal="right"/>
      <protection/>
    </xf>
    <xf numFmtId="0" fontId="4" fillId="0" borderId="0" xfId="0" applyFont="1" applyAlignment="1" applyProtection="1">
      <alignment horizontal="right"/>
      <protection/>
    </xf>
    <xf numFmtId="0" fontId="4" fillId="36" borderId="17" xfId="0" applyFont="1" applyFill="1" applyBorder="1" applyAlignment="1" applyProtection="1">
      <alignment/>
      <protection locked="0"/>
    </xf>
    <xf numFmtId="0" fontId="7" fillId="34" borderId="17" xfId="0" applyFont="1" applyFill="1" applyBorder="1" applyAlignment="1" applyProtection="1">
      <alignment horizontal="center"/>
      <protection locked="0"/>
    </xf>
    <xf numFmtId="0" fontId="14" fillId="0" borderId="28"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protection/>
    </xf>
    <xf numFmtId="0" fontId="4" fillId="33" borderId="28" xfId="0" applyFont="1" applyFill="1" applyBorder="1" applyAlignment="1" applyProtection="1">
      <alignment horizontal="center"/>
      <protection/>
    </xf>
    <xf numFmtId="0" fontId="10" fillId="0" borderId="29" xfId="0" applyFont="1" applyBorder="1" applyAlignment="1" applyProtection="1">
      <alignment horizontal="center" wrapText="1"/>
      <protection/>
    </xf>
    <xf numFmtId="0" fontId="0" fillId="34" borderId="24" xfId="0" applyFont="1" applyFill="1" applyBorder="1" applyAlignment="1" applyProtection="1">
      <alignment wrapText="1"/>
      <protection locked="0"/>
    </xf>
    <xf numFmtId="0" fontId="0" fillId="34" borderId="24" xfId="0" applyFont="1" applyFill="1" applyBorder="1" applyAlignment="1" applyProtection="1">
      <alignment/>
      <protection locked="0"/>
    </xf>
    <xf numFmtId="0" fontId="0" fillId="34" borderId="30" xfId="0" applyFont="1" applyFill="1" applyBorder="1" applyAlignment="1" applyProtection="1">
      <alignment/>
      <protection locked="0"/>
    </xf>
    <xf numFmtId="0" fontId="0" fillId="34" borderId="31" xfId="0" applyFont="1" applyFill="1" applyBorder="1" applyAlignment="1" applyProtection="1">
      <alignment wrapText="1"/>
      <protection locked="0"/>
    </xf>
    <xf numFmtId="0" fontId="0" fillId="34" borderId="32" xfId="0" applyFont="1" applyFill="1" applyBorder="1" applyAlignment="1" applyProtection="1">
      <alignment wrapText="1"/>
      <protection locked="0"/>
    </xf>
    <xf numFmtId="0" fontId="4" fillId="34" borderId="31" xfId="0" applyFont="1" applyFill="1" applyBorder="1" applyAlignment="1" applyProtection="1">
      <alignment wrapText="1"/>
      <protection/>
    </xf>
    <xf numFmtId="0" fontId="0" fillId="34" borderId="31" xfId="0" applyFont="1" applyFill="1" applyBorder="1" applyAlignment="1" applyProtection="1">
      <alignment wrapText="1"/>
      <protection/>
    </xf>
    <xf numFmtId="0" fontId="0" fillId="34" borderId="32" xfId="0" applyFont="1" applyFill="1" applyBorder="1" applyAlignment="1" applyProtection="1">
      <alignment wrapText="1"/>
      <protection/>
    </xf>
    <xf numFmtId="49" fontId="0" fillId="34" borderId="20" xfId="0" applyNumberFormat="1" applyFont="1" applyFill="1" applyBorder="1" applyAlignment="1" applyProtection="1">
      <alignment horizontal="left"/>
      <protection locked="0"/>
    </xf>
    <xf numFmtId="0" fontId="5" fillId="0" borderId="19" xfId="0" applyFont="1" applyFill="1" applyBorder="1" applyAlignment="1" applyProtection="1">
      <alignment horizontal="center"/>
      <protection/>
    </xf>
    <xf numFmtId="0" fontId="13" fillId="0" borderId="33" xfId="0" applyFont="1" applyFill="1" applyBorder="1" applyAlignment="1" applyProtection="1">
      <alignment horizontal="center" vertical="center" wrapText="1"/>
      <protection/>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dxfs count="3">
    <dxf>
      <font>
        <b val="0"/>
        <color indexed="11"/>
      </font>
    </dxf>
    <dxf>
      <fill>
        <patternFill patternType="solid">
          <fgColor indexed="31"/>
          <bgColor indexed="22"/>
        </patternFill>
      </fill>
      <border>
        <left style="thin">
          <color indexed="10"/>
        </left>
        <right style="thin">
          <color indexed="10"/>
        </right>
        <top style="thin">
          <color indexed="10"/>
        </top>
        <bottom style="thin">
          <color indexed="10"/>
        </bottom>
      </border>
    </dxf>
    <dxf>
      <fill>
        <patternFill patternType="solid">
          <fgColor rgb="FFCCCCFF"/>
          <bgColor rgb="FFC0C0C0"/>
        </patternFill>
      </fill>
      <border>
        <left style="thin">
          <color rgb="FFFF0000"/>
        </left>
        <right style="thin">
          <color rgb="FFFF0000"/>
        </right>
        <top style="thin"/>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7.emf" /><Relationship Id="rId9"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390525</xdr:colOff>
      <xdr:row>6</xdr:row>
      <xdr:rowOff>9525</xdr:rowOff>
    </xdr:from>
    <xdr:to>
      <xdr:col>7</xdr:col>
      <xdr:colOff>828675</xdr:colOff>
      <xdr:row>22</xdr:row>
      <xdr:rowOff>0</xdr:rowOff>
    </xdr:to>
    <xdr:pic>
      <xdr:nvPicPr>
        <xdr:cNvPr id="1" name="Picture 510" descr="SC310-740DoArkusza5n"/>
        <xdr:cNvPicPr preferRelativeResize="1">
          <a:picLocks noChangeAspect="1"/>
        </xdr:cNvPicPr>
      </xdr:nvPicPr>
      <xdr:blipFill>
        <a:blip r:embed="rId1"/>
        <a:stretch>
          <a:fillRect/>
        </a:stretch>
      </xdr:blipFill>
      <xdr:spPr>
        <a:xfrm>
          <a:off x="4657725" y="1343025"/>
          <a:ext cx="4029075" cy="2647950"/>
        </a:xfrm>
        <a:prstGeom prst="rect">
          <a:avLst/>
        </a:prstGeom>
        <a:noFill/>
        <a:ln w="9525" cmpd="sng">
          <a:noFill/>
        </a:ln>
      </xdr:spPr>
    </xdr:pic>
    <xdr:clientData/>
  </xdr:twoCellAnchor>
  <xdr:twoCellAnchor editAs="oneCell">
    <xdr:from>
      <xdr:col>0</xdr:col>
      <xdr:colOff>0</xdr:colOff>
      <xdr:row>0</xdr:row>
      <xdr:rowOff>104775</xdr:rowOff>
    </xdr:from>
    <xdr:to>
      <xdr:col>2</xdr:col>
      <xdr:colOff>838200</xdr:colOff>
      <xdr:row>3</xdr:row>
      <xdr:rowOff>152400</xdr:rowOff>
    </xdr:to>
    <xdr:pic>
      <xdr:nvPicPr>
        <xdr:cNvPr id="2" name="Obraz 1"/>
        <xdr:cNvPicPr preferRelativeResize="1">
          <a:picLocks noChangeAspect="1"/>
        </xdr:cNvPicPr>
      </xdr:nvPicPr>
      <xdr:blipFill>
        <a:blip r:embed="rId2"/>
        <a:stretch>
          <a:fillRect/>
        </a:stretch>
      </xdr:blipFill>
      <xdr:spPr>
        <a:xfrm>
          <a:off x="0" y="104775"/>
          <a:ext cx="319087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oleObject" Target="../embeddings/oleObject_1_4.bin" /><Relationship Id="rId6" Type="http://schemas.openxmlformats.org/officeDocument/2006/relationships/oleObject" Target="../embeddings/oleObject_1_5.bin" /><Relationship Id="rId7" Type="http://schemas.openxmlformats.org/officeDocument/2006/relationships/oleObject" Target="../embeddings/oleObject_1_6.bin" /><Relationship Id="rId8" Type="http://schemas.openxmlformats.org/officeDocument/2006/relationships/oleObject" Target="../embeddings/oleObject_1_7.bin" /><Relationship Id="rId9" Type="http://schemas.openxmlformats.org/officeDocument/2006/relationships/oleObject" Target="../embeddings/oleObject_1_8.bin" /><Relationship Id="rId10" Type="http://schemas.openxmlformats.org/officeDocument/2006/relationships/vmlDrawing" Target="../drawings/vmlDrawing2.vml" /><Relationship Id="rId1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T52"/>
  <sheetViews>
    <sheetView showGridLines="0" tabSelected="1" zoomScale="82" zoomScaleNormal="82" zoomScaleSheetLayoutView="70" zoomScalePageLayoutView="0" workbookViewId="0" topLeftCell="A1">
      <selection activeCell="G4" sqref="G4:I4"/>
    </sheetView>
  </sheetViews>
  <sheetFormatPr defaultColWidth="9.140625" defaultRowHeight="12.75"/>
  <cols>
    <col min="1" max="1" width="3.421875" style="1" customWidth="1"/>
    <col min="2" max="2" width="31.8515625" style="1" customWidth="1"/>
    <col min="3" max="3" width="17.57421875" style="1" customWidth="1"/>
    <col min="4" max="4" width="11.140625" style="1" customWidth="1"/>
    <col min="5" max="5" width="10.140625" style="1" customWidth="1"/>
    <col min="6" max="6" width="27.00390625" style="1" customWidth="1"/>
    <col min="7" max="7" width="16.7109375" style="1" customWidth="1"/>
    <col min="8" max="8" width="12.57421875" style="1" customWidth="1"/>
    <col min="9" max="9" width="15.28125" style="2" customWidth="1"/>
    <col min="10" max="12" width="0" style="2" hidden="1" customWidth="1"/>
    <col min="13" max="16" width="0" style="1" hidden="1" customWidth="1"/>
    <col min="17" max="17" width="7.57421875" style="1" hidden="1" customWidth="1"/>
    <col min="18" max="18" width="9.00390625" style="1" customWidth="1"/>
    <col min="19" max="19" width="9.57421875" style="1" customWidth="1"/>
    <col min="20" max="16384" width="9.140625" style="1" customWidth="1"/>
  </cols>
  <sheetData>
    <row r="1" spans="1:18" ht="9.75" customHeight="1">
      <c r="A1" s="3"/>
      <c r="B1" s="4"/>
      <c r="C1" s="4"/>
      <c r="D1" s="4"/>
      <c r="E1" s="4"/>
      <c r="F1" s="4"/>
      <c r="G1" s="4"/>
      <c r="H1" s="4"/>
      <c r="I1" s="5"/>
      <c r="R1" s="92"/>
    </row>
    <row r="2" spans="1:20" ht="25.5" customHeight="1">
      <c r="A2" s="6"/>
      <c r="B2" s="7"/>
      <c r="C2" s="8"/>
      <c r="D2" s="8"/>
      <c r="E2" s="8"/>
      <c r="F2" s="9" t="s">
        <v>0</v>
      </c>
      <c r="G2" s="118"/>
      <c r="H2" s="119"/>
      <c r="I2" s="120"/>
      <c r="J2" s="10"/>
      <c r="K2" s="10"/>
      <c r="L2" s="10"/>
      <c r="Q2" s="11"/>
      <c r="R2" s="93"/>
      <c r="S2" s="12"/>
      <c r="T2" s="12"/>
    </row>
    <row r="3" spans="1:20" ht="25.5" customHeight="1">
      <c r="A3" s="6"/>
      <c r="B3" s="7"/>
      <c r="C3" s="8"/>
      <c r="D3" s="8"/>
      <c r="E3" s="8"/>
      <c r="F3" s="108" t="s">
        <v>1</v>
      </c>
      <c r="G3" s="121"/>
      <c r="H3" s="121"/>
      <c r="I3" s="122"/>
      <c r="J3" s="10"/>
      <c r="K3" s="10"/>
      <c r="L3" s="10"/>
      <c r="M3" s="13" t="s">
        <v>2</v>
      </c>
      <c r="P3" s="1">
        <v>150</v>
      </c>
      <c r="Q3" s="14">
        <f>IF(L35=10,6,150)</f>
        <v>150</v>
      </c>
      <c r="R3" s="93"/>
      <c r="S3" s="12"/>
      <c r="T3" s="12"/>
    </row>
    <row r="4" spans="1:20" ht="14.25" customHeight="1">
      <c r="A4" s="6"/>
      <c r="B4" s="7"/>
      <c r="C4" s="15" t="s">
        <v>3</v>
      </c>
      <c r="D4" s="109" t="s">
        <v>4</v>
      </c>
      <c r="E4" s="16"/>
      <c r="F4" s="9" t="s">
        <v>5</v>
      </c>
      <c r="G4" s="123" t="s">
        <v>53</v>
      </c>
      <c r="H4" s="124"/>
      <c r="I4" s="125"/>
      <c r="J4" s="10"/>
      <c r="K4" s="10"/>
      <c r="L4" s="10"/>
      <c r="M4" s="13" t="s">
        <v>6</v>
      </c>
      <c r="P4" s="1">
        <v>305</v>
      </c>
      <c r="Q4" s="14">
        <f>IF(L35=10,12,305)</f>
        <v>305</v>
      </c>
      <c r="R4" s="93"/>
      <c r="S4" s="12"/>
      <c r="T4" s="12"/>
    </row>
    <row r="5" spans="1:20" ht="13.5" customHeight="1" thickBot="1">
      <c r="A5" s="6"/>
      <c r="B5" s="7"/>
      <c r="C5" s="17"/>
      <c r="D5" s="17"/>
      <c r="E5" s="17"/>
      <c r="F5" s="9" t="s">
        <v>7</v>
      </c>
      <c r="G5" s="126" t="s">
        <v>54</v>
      </c>
      <c r="H5" s="126"/>
      <c r="I5" s="126"/>
      <c r="J5" s="10"/>
      <c r="K5" s="10"/>
      <c r="L5" s="10"/>
      <c r="M5" s="13" t="s">
        <v>8</v>
      </c>
      <c r="P5" s="1">
        <v>460</v>
      </c>
      <c r="Q5" s="14">
        <f>IF(L35=10,18,460)</f>
        <v>460</v>
      </c>
      <c r="R5" s="12"/>
      <c r="S5" s="12"/>
      <c r="T5" s="12"/>
    </row>
    <row r="6" spans="1:20" ht="16.5" customHeight="1" thickBot="1">
      <c r="A6" s="18"/>
      <c r="B6" s="115" t="s">
        <v>9</v>
      </c>
      <c r="C6" s="115"/>
      <c r="D6" s="115"/>
      <c r="E6" s="115"/>
      <c r="F6" s="115"/>
      <c r="G6" s="115"/>
      <c r="H6" s="115"/>
      <c r="I6" s="19"/>
      <c r="J6" s="15"/>
      <c r="K6" s="15"/>
      <c r="L6" s="15"/>
      <c r="M6" s="1" t="s">
        <v>10</v>
      </c>
      <c r="Q6" s="14"/>
      <c r="R6" s="12"/>
      <c r="S6" s="12"/>
      <c r="T6" s="12"/>
    </row>
    <row r="7" spans="1:20" ht="15" customHeight="1">
      <c r="A7" s="6"/>
      <c r="B7" s="7" t="s">
        <v>11</v>
      </c>
      <c r="C7" s="7"/>
      <c r="D7" s="20">
        <v>103</v>
      </c>
      <c r="E7" s="7" t="str">
        <f>IF($L$35=10,"CF","m3")</f>
        <v>m3</v>
      </c>
      <c r="G7" s="7"/>
      <c r="H7" s="7"/>
      <c r="I7" s="13"/>
      <c r="J7" s="10"/>
      <c r="K7" s="10"/>
      <c r="L7" s="21" t="s">
        <v>12</v>
      </c>
      <c r="N7" s="1">
        <v>6</v>
      </c>
      <c r="O7" s="1">
        <v>12</v>
      </c>
      <c r="P7" s="1">
        <v>18</v>
      </c>
      <c r="R7" s="72"/>
      <c r="S7" s="12"/>
      <c r="T7" s="12"/>
    </row>
    <row r="8" spans="1:20" ht="18" customHeight="1">
      <c r="A8" s="6"/>
      <c r="B8" s="22" t="s">
        <v>13</v>
      </c>
      <c r="C8" s="7"/>
      <c r="D8" s="23" t="s">
        <v>14</v>
      </c>
      <c r="E8" s="7"/>
      <c r="G8" s="7"/>
      <c r="H8" s="7"/>
      <c r="I8" s="13"/>
      <c r="J8" s="10"/>
      <c r="K8" s="10"/>
      <c r="L8" s="24">
        <f>IF(D8="SC-740",4.75,3.33)</f>
        <v>4.75</v>
      </c>
      <c r="M8" s="1" t="s">
        <v>15</v>
      </c>
      <c r="N8" s="25">
        <f>ROUND(((2.333*7.12*3.333-14.7)*$D$9)+14.7,1)</f>
        <v>31</v>
      </c>
      <c r="O8" s="25">
        <f>ROUND(((2.833*7.12*3.333-14.7)*$D$9)+14.7,1)</f>
        <v>35.7</v>
      </c>
      <c r="P8" s="25">
        <f>ROUND(((3.333*7.12*3.33-14.7)*$D$9)+14.7,1)</f>
        <v>40.4</v>
      </c>
      <c r="R8" s="88"/>
      <c r="S8" s="12"/>
      <c r="T8" s="12"/>
    </row>
    <row r="9" spans="1:20" ht="18" customHeight="1">
      <c r="A9" s="6"/>
      <c r="B9" s="22" t="s">
        <v>16</v>
      </c>
      <c r="C9" s="7"/>
      <c r="D9" s="110">
        <v>0.4</v>
      </c>
      <c r="E9" s="7"/>
      <c r="G9" s="7"/>
      <c r="H9" s="7"/>
      <c r="I9" s="13"/>
      <c r="J9" s="10"/>
      <c r="K9" s="10"/>
      <c r="L9" s="21" t="s">
        <v>17</v>
      </c>
      <c r="M9" s="1" t="s">
        <v>14</v>
      </c>
      <c r="N9" s="25">
        <f>ROUND(((3.5*7.12*4.75-45.9)*$D$9)+45.9,1)</f>
        <v>74.9</v>
      </c>
      <c r="O9" s="25">
        <f>ROUND(((4*7.12*4.75-45.9)*$D$9)+45.9,1)</f>
        <v>81.7</v>
      </c>
      <c r="P9" s="25">
        <f>ROUND(((4.5*7.12*4.75-45.9)*$D$9)+45.9,1)</f>
        <v>88.4</v>
      </c>
      <c r="R9" s="12"/>
      <c r="S9" s="12"/>
      <c r="T9" s="12"/>
    </row>
    <row r="10" spans="1:20" ht="8.25" customHeight="1">
      <c r="A10" s="6"/>
      <c r="B10" s="26">
        <f>IF(D11="","",IF(L35=10,IF(D11&gt;19,"Please check foundation stone to ensure correct units are used.",""),IF(AND(D11&lt;149,NOT(D11=0)),"Please check foundation stone to ensure correct units are used.","")))</f>
      </c>
      <c r="C10" s="7"/>
      <c r="D10" s="27"/>
      <c r="E10" s="7"/>
      <c r="G10" s="7"/>
      <c r="H10" s="7"/>
      <c r="I10" s="13"/>
      <c r="J10" s="10"/>
      <c r="K10" s="10"/>
      <c r="L10" s="28">
        <f>IF(D8="SC-740",(36+D11)/12,(22+D11)/12)</f>
        <v>28.416666666666668</v>
      </c>
      <c r="N10" s="29"/>
      <c r="O10" s="29"/>
      <c r="P10" s="29"/>
      <c r="R10" s="12"/>
      <c r="S10" s="12"/>
      <c r="T10" s="12"/>
    </row>
    <row r="11" spans="1:20" ht="18.75" customHeight="1">
      <c r="A11" s="6"/>
      <c r="B11" s="22" t="s">
        <v>18</v>
      </c>
      <c r="C11" s="7"/>
      <c r="D11" s="30">
        <v>305</v>
      </c>
      <c r="E11" s="31" t="str">
        <f>IF($L$35=10,"Inches","mm")</f>
        <v>mm</v>
      </c>
      <c r="G11" s="7"/>
      <c r="H11" s="32"/>
      <c r="I11" s="33"/>
      <c r="J11" s="34"/>
      <c r="K11" s="34"/>
      <c r="L11" s="34"/>
      <c r="R11" s="12"/>
      <c r="S11" s="12"/>
      <c r="T11" s="12"/>
    </row>
    <row r="12" spans="1:20" ht="12.75">
      <c r="A12" s="6"/>
      <c r="B12" s="7" t="s">
        <v>19</v>
      </c>
      <c r="C12" s="7"/>
      <c r="D12" s="35">
        <f>IF(D11="","",IF(L35=10,INDEX(M8:P9,MATCH(D8,M8:M9,0),MATCH(D11,M7:P7,0)),INDEX(M14:P15,MATCH(D8,M14:M15,0),MATCH(D11,M13:P13))))</f>
        <v>2.3001631199999997</v>
      </c>
      <c r="E12" s="7" t="str">
        <f>IF($L$35=10,"CF","m3")</f>
        <v>m3</v>
      </c>
      <c r="G12" s="7"/>
      <c r="H12" s="7"/>
      <c r="I12" s="13"/>
      <c r="J12" s="10"/>
      <c r="K12" s="10"/>
      <c r="L12" s="36"/>
      <c r="M12" s="1" t="s">
        <v>10</v>
      </c>
      <c r="R12" s="12"/>
      <c r="S12" s="12"/>
      <c r="T12" s="12"/>
    </row>
    <row r="13" spans="1:20" ht="16.5" customHeight="1">
      <c r="A13" s="6"/>
      <c r="B13" s="7" t="str">
        <f>IF(L35=20,"Przykrycie komór (460mm min. &amp; 5000mm max.)",)</f>
        <v>Przykrycie komór (460mm min. &amp; 5000mm max.)</v>
      </c>
      <c r="C13" s="7"/>
      <c r="D13" s="37">
        <v>700</v>
      </c>
      <c r="E13" s="38" t="str">
        <f>IF($L$35=10,"Inches","mm")</f>
        <v>mm</v>
      </c>
      <c r="G13" s="7"/>
      <c r="H13" s="7"/>
      <c r="I13" s="39" t="str">
        <f>IF(D8="sc-740","30 in (762 mm)","16 in (406 mm)")</f>
        <v>30 in (762 mm)</v>
      </c>
      <c r="J13" s="10"/>
      <c r="K13" s="10"/>
      <c r="L13" s="21" t="s">
        <v>12</v>
      </c>
      <c r="N13" s="1">
        <v>150</v>
      </c>
      <c r="O13" s="1">
        <v>305</v>
      </c>
      <c r="P13" s="1">
        <v>460</v>
      </c>
      <c r="R13" s="12"/>
      <c r="S13" s="12"/>
      <c r="T13" s="12"/>
    </row>
    <row r="14" spans="1:20" ht="12.75" customHeight="1">
      <c r="A14" s="6"/>
      <c r="B14" s="40">
        <f>IF(D13="","",IF($L$35=10,IF(OR($D$13&gt;96,$D$13&lt;18),"Check to ensure correct value and units are used for the cover",""),IF(OR($D$13&gt;5000,$D$13&lt;460),"Check to ensure the correct value and units are used for the cover","")))</f>
      </c>
      <c r="C14" s="7"/>
      <c r="E14" s="7"/>
      <c r="G14" s="7"/>
      <c r="H14" s="7"/>
      <c r="I14" s="13"/>
      <c r="J14" s="10"/>
      <c r="K14" s="10"/>
      <c r="L14" s="24">
        <f>IF(D8="SC-740",1.445,1.014)</f>
        <v>1.445</v>
      </c>
      <c r="M14" s="1" t="s">
        <v>15</v>
      </c>
      <c r="N14" s="41">
        <f>ROUND(((0.711*2.169*1.016-0.4)*$D$9)+0.43,2)</f>
        <v>0.9</v>
      </c>
      <c r="O14" s="41">
        <f>((0.864*2.169*1.016-0.4)*$D$9)+0.4</f>
        <v>1.0016001023999999</v>
      </c>
      <c r="P14" s="41">
        <f>((1.016*2.169*1.016-0.4)*$D$9)+0.46</f>
        <v>1.1955853056</v>
      </c>
      <c r="R14" s="12"/>
      <c r="S14" s="12"/>
      <c r="T14" s="12"/>
    </row>
    <row r="15" spans="1:20" ht="12.75" customHeight="1">
      <c r="A15" s="6"/>
      <c r="B15" s="98" t="s">
        <v>20</v>
      </c>
      <c r="C15" s="7"/>
      <c r="D15" s="42">
        <f>IF(D11="","",ROUNDUP((D7/D12),0))</f>
        <v>45</v>
      </c>
      <c r="E15" s="7" t="s">
        <v>21</v>
      </c>
      <c r="G15" s="7"/>
      <c r="H15" s="43"/>
      <c r="I15" s="39" t="str">
        <f>IF(D11="","6 in (150 mm)",IF(D11=6,"6 in (150 mm)",IF(D11=12,"12 in (305 mm)",IF(D11=18,"18 in (460 mm)",IF(D11=150,"6 in (150 mm)",IF(D11=305,"12 in (305 mm)",IF(D11=460,"18 in (460 mm)","6 in (150 mm) MIN.")))))))</f>
        <v>12 in (305 mm)</v>
      </c>
      <c r="J15" s="44"/>
      <c r="K15" s="44"/>
      <c r="L15" s="21" t="s">
        <v>17</v>
      </c>
      <c r="M15" s="1" t="s">
        <v>14</v>
      </c>
      <c r="N15" s="41">
        <f>((1.067*2.169*1.448-1.3)*$D$9)+1.28</f>
        <v>2.1004558816</v>
      </c>
      <c r="O15" s="41">
        <f>((1.212*2.17*1.445-1.3)*$D$9)+1.3</f>
        <v>2.3001631199999997</v>
      </c>
      <c r="P15" s="41">
        <f>((1.371*2.169*1.448-1.3)*$D$9)+1.4</f>
        <v>2.6023664608</v>
      </c>
      <c r="T15" s="12"/>
    </row>
    <row r="16" spans="1:20" ht="12.75">
      <c r="A16" s="6"/>
      <c r="B16" s="7" t="s">
        <v>22</v>
      </c>
      <c r="C16" s="7"/>
      <c r="D16" s="45">
        <f>IF(D11="","",IF(L33=1,C36*C37-((C32*C31)-D15)*IF(D8="sc-740",L30,L29),(G36*G37-((G32*G31)-D15)*IF(D8="sc-740",L30,L29))))</f>
        <v>161.241619896</v>
      </c>
      <c r="E16" s="31" t="str">
        <f>IF($L$35=10,"SF","m2")</f>
        <v>m2</v>
      </c>
      <c r="G16" s="7"/>
      <c r="H16" s="7"/>
      <c r="I16" s="13"/>
      <c r="J16" s="10"/>
      <c r="K16" s="10"/>
      <c r="L16" s="24">
        <f>IF(D8="SC-740",(0.912+D11/1000),(0.556+D11/1000))</f>
        <v>1.217</v>
      </c>
      <c r="N16" s="29"/>
      <c r="O16" s="29"/>
      <c r="P16" s="29"/>
      <c r="T16" s="12"/>
    </row>
    <row r="17" spans="1:20" ht="12.75" hidden="1">
      <c r="A17" s="6"/>
      <c r="B17" s="7" t="s">
        <v>45</v>
      </c>
      <c r="C17" s="7"/>
      <c r="D17" s="45">
        <f>IF(D11="","",IF(L35=10,1.3*(D16*L10-D15*IF(D8="sc-740",45.9,14.7))/27,(0.907*1.1*((D16/0.0929)*(L16/0.305)-D15*IF(D8="SC-740",45.9,14.7))/27)))</f>
        <v>179.58661511010484</v>
      </c>
      <c r="E17" s="31" t="str">
        <f>IF($L$35=10,"Ton","Ton")</f>
        <v>Ton</v>
      </c>
      <c r="G17" s="7"/>
      <c r="H17" s="7"/>
      <c r="I17" s="13"/>
      <c r="J17" s="10"/>
      <c r="K17" s="10"/>
      <c r="L17" s="10"/>
      <c r="T17" s="12"/>
    </row>
    <row r="18" spans="1:20" ht="12.75">
      <c r="A18" s="6"/>
      <c r="B18" s="7" t="s">
        <v>50</v>
      </c>
      <c r="C18" s="7"/>
      <c r="D18" s="95">
        <f>IF(AND(D8="SC-310",D11=150),1.1,IF(AND(D8="SC-310",D11=305),1.5,IF(AND(D8="SC-310",D11=460),1.8,IF(AND(D8="SC-740",D11=150),2.1,IF(AND(D8="SC-740",D11=305),2.5,IF(AND(D8="SC-740",D11=460),3,0))))))*D15</f>
        <v>112.5</v>
      </c>
      <c r="E18" s="31" t="s">
        <v>49</v>
      </c>
      <c r="G18" s="7"/>
      <c r="H18" s="7"/>
      <c r="I18" s="13"/>
      <c r="J18" s="10"/>
      <c r="K18" s="10"/>
      <c r="L18" s="10"/>
      <c r="T18" s="12"/>
    </row>
    <row r="19" spans="1:20" ht="12.75">
      <c r="A19" s="6"/>
      <c r="B19" s="94" t="s">
        <v>51</v>
      </c>
      <c r="C19" s="94"/>
      <c r="D19" s="95">
        <f>D18*1.8</f>
        <v>202.5</v>
      </c>
      <c r="E19" s="7" t="s">
        <v>44</v>
      </c>
      <c r="G19" s="7"/>
      <c r="H19" s="7"/>
      <c r="I19" s="13"/>
      <c r="J19" s="10"/>
      <c r="K19" s="10"/>
      <c r="L19" s="10"/>
      <c r="T19" s="12"/>
    </row>
    <row r="20" spans="1:20" ht="12.75">
      <c r="A20" s="6"/>
      <c r="B20" s="7" t="s">
        <v>23</v>
      </c>
      <c r="C20" s="46"/>
      <c r="D20" s="45">
        <f>IF(D11="","",IF(L35=10,((L10+(D13-6)/12)*D16)/27,((L16+(D13-150)/1000)*D16)))</f>
        <v>284.91394235623204</v>
      </c>
      <c r="E20" s="7" t="str">
        <f>IF($L$35=10,"CY","m3")</f>
        <v>m3</v>
      </c>
      <c r="G20" s="7"/>
      <c r="H20" s="7"/>
      <c r="I20" s="13"/>
      <c r="J20" s="10"/>
      <c r="K20" s="10"/>
      <c r="L20" s="10"/>
      <c r="T20" s="12"/>
    </row>
    <row r="21" spans="1:20" ht="12.75">
      <c r="A21" s="6"/>
      <c r="B21" s="94" t="s">
        <v>47</v>
      </c>
      <c r="C21" s="94"/>
      <c r="D21" s="96">
        <f>IF(D11="","",IF(L35=10,(1.15*(P34*L10+D16*2))/9,(1.15*(P34*L16+D16*2))))</f>
        <v>478.4499947688</v>
      </c>
      <c r="E21" s="7" t="str">
        <f>IF($L$35=10,"SY","m2")</f>
        <v>m2</v>
      </c>
      <c r="G21" s="7"/>
      <c r="H21" s="7"/>
      <c r="I21" s="13"/>
      <c r="J21" s="47">
        <f>D7</f>
        <v>103</v>
      </c>
      <c r="K21" s="15" t="s">
        <v>24</v>
      </c>
      <c r="L21" s="10"/>
      <c r="T21" s="12"/>
    </row>
    <row r="22" spans="1:20" ht="12.75">
      <c r="A22" s="6"/>
      <c r="B22" s="98" t="s">
        <v>25</v>
      </c>
      <c r="C22" s="7"/>
      <c r="D22" s="48">
        <f>IF(D11="","",IF(L33=1,C32*2,G32*2))</f>
        <v>6</v>
      </c>
      <c r="E22" s="7" t="s">
        <v>21</v>
      </c>
      <c r="H22" s="7"/>
      <c r="I22" s="13"/>
      <c r="J22" s="15">
        <f>J21*0.02831685</f>
        <v>2.91663555</v>
      </c>
      <c r="K22" s="15" t="s">
        <v>26</v>
      </c>
      <c r="L22" s="10"/>
      <c r="T22" s="12"/>
    </row>
    <row r="23" spans="1:20" ht="12.75">
      <c r="A23" s="6"/>
      <c r="B23" s="101" t="s">
        <v>27</v>
      </c>
      <c r="C23" s="101"/>
      <c r="D23" s="101">
        <f>IF(D11="","",IF(L35=10,IF(L33=1,C31*7.12,G31*7.12),IF(L33=1,C31*2.17,G31*2.17)))</f>
        <v>32.55</v>
      </c>
      <c r="E23" s="100" t="str">
        <f>IF($L$35=10,"FT","m")</f>
        <v>m</v>
      </c>
      <c r="G23" s="7"/>
      <c r="H23" s="7"/>
      <c r="I23" s="13"/>
      <c r="J23" s="10"/>
      <c r="K23" s="10"/>
      <c r="L23" s="10"/>
      <c r="T23" s="12"/>
    </row>
    <row r="24" spans="1:20" ht="12.75">
      <c r="A24" s="6"/>
      <c r="B24" s="101" t="s">
        <v>28</v>
      </c>
      <c r="C24" s="101"/>
      <c r="D24" s="102">
        <f>IF(D11="","",IF(L35=10,D23*(IF(D8="sc-740",5,4)/9),D23*(IF(D8="sc-740",1.5,1.2))))</f>
        <v>48.824999999999996</v>
      </c>
      <c r="E24" s="99" t="str">
        <f>IF($L$35=10,"SY","m2")</f>
        <v>m2</v>
      </c>
      <c r="G24" s="7"/>
      <c r="H24" s="7"/>
      <c r="I24" s="13"/>
      <c r="J24" s="10"/>
      <c r="K24" s="10"/>
      <c r="L24" s="10"/>
      <c r="T24" s="12"/>
    </row>
    <row r="25" spans="1:20" ht="7.5" customHeight="1">
      <c r="A25" s="6"/>
      <c r="B25" s="7"/>
      <c r="C25" s="7"/>
      <c r="D25" s="49"/>
      <c r="E25" s="49"/>
      <c r="G25" s="7"/>
      <c r="H25" s="7"/>
      <c r="I25" s="13"/>
      <c r="J25" s="10"/>
      <c r="K25" s="10" t="e">
        <f>IF(D11=OR(6,12,18,150,305,460,""),1,2)</f>
        <v>#VALUE!</v>
      </c>
      <c r="L25" s="10"/>
      <c r="T25" s="12"/>
    </row>
    <row r="26" spans="1:20" ht="12.75">
      <c r="A26" s="6"/>
      <c r="B26" s="7" t="s">
        <v>29</v>
      </c>
      <c r="C26" s="7"/>
      <c r="D26" s="113" t="s">
        <v>12</v>
      </c>
      <c r="E26" s="50"/>
      <c r="F26" s="7"/>
      <c r="G26" s="7"/>
      <c r="H26" s="7"/>
      <c r="I26" s="13"/>
      <c r="J26" s="10"/>
      <c r="K26" s="10"/>
      <c r="L26" s="10"/>
      <c r="R26" s="12"/>
      <c r="S26" s="12"/>
      <c r="T26" s="12"/>
    </row>
    <row r="27" spans="1:20" ht="14.25" customHeight="1">
      <c r="A27" s="18"/>
      <c r="B27" s="116" t="s">
        <v>30</v>
      </c>
      <c r="C27" s="116"/>
      <c r="D27" s="116"/>
      <c r="E27" s="51"/>
      <c r="F27" s="116" t="s">
        <v>31</v>
      </c>
      <c r="G27" s="116"/>
      <c r="H27" s="116"/>
      <c r="I27" s="19"/>
      <c r="J27" s="15"/>
      <c r="K27" s="15" t="s">
        <v>32</v>
      </c>
      <c r="L27" s="15"/>
      <c r="R27" s="12"/>
      <c r="S27" s="12"/>
      <c r="T27" s="12"/>
    </row>
    <row r="28" spans="1:20" ht="12.75">
      <c r="A28" s="6"/>
      <c r="B28" s="7" t="s">
        <v>46</v>
      </c>
      <c r="C28" s="112">
        <v>6</v>
      </c>
      <c r="D28" s="31" t="str">
        <f>IF($L$35=10,"FT","m")</f>
        <v>m</v>
      </c>
      <c r="E28" s="52"/>
      <c r="F28" s="4" t="s">
        <v>33</v>
      </c>
      <c r="G28" s="112" t="s">
        <v>52</v>
      </c>
      <c r="H28" s="31" t="str">
        <f>IF($L$35=10,"FT","m")</f>
        <v>m</v>
      </c>
      <c r="I28" s="53"/>
      <c r="J28" s="15"/>
      <c r="K28" s="15"/>
      <c r="L28" s="15" t="s">
        <v>34</v>
      </c>
      <c r="R28" s="12"/>
      <c r="S28" s="12"/>
      <c r="T28" s="12"/>
    </row>
    <row r="29" spans="1:20" ht="12" customHeight="1">
      <c r="A29" s="117">
        <f>IF(D11="","",IF(L33=1,IF($L$35=10,IF(OR($D$13&gt;96,$D$13&lt;18),"You have switched between Imperial and Metric Units please check to ensure correct width is entered for the units shown above.  Also check input data for cover over chambers and foundation depth.",""),IF(OR($D$13&gt;5000,$D$13&lt;460),"You have switched between Imperial and Metric Units please check to ensure correct width is entered for the units shown above.  Also check input data for cover over chambers and foundation depth.","")),""))</f>
      </c>
      <c r="B29" s="117"/>
      <c r="C29" s="117"/>
      <c r="D29" s="117"/>
      <c r="E29" s="117">
        <f>IF(D11="","",IF(L33=2,IF($L$35=10,IF(OR($D$13&gt;96,$D$13&lt;18),"You have switched between Imperial and Metric Units please check to ensure correct width is entered for the units shown above.  Also check input data for cover over chambers and foundation depth.",""),IF(OR($D$13&gt;2440,$D$13&lt;460),"You have switched between Imperial and Metric Units please check to ensure correct width is entered for the units shown above.  Also check input data for cover over chambers and foundation depth.","")),""))</f>
      </c>
      <c r="F29" s="117"/>
      <c r="G29" s="117"/>
      <c r="H29" s="117"/>
      <c r="I29" s="117"/>
      <c r="J29" s="10"/>
      <c r="K29" s="10"/>
      <c r="L29" s="10">
        <f>IF(L35=10,23.7,2.2)</f>
        <v>2.2</v>
      </c>
      <c r="R29" s="12"/>
      <c r="S29" s="12"/>
      <c r="T29" s="12"/>
    </row>
    <row r="30" spans="1:20" ht="9.75" customHeight="1">
      <c r="A30" s="117"/>
      <c r="B30" s="117"/>
      <c r="C30" s="117"/>
      <c r="D30" s="117"/>
      <c r="E30" s="117"/>
      <c r="F30" s="117"/>
      <c r="G30" s="117"/>
      <c r="H30" s="117"/>
      <c r="I30" s="117"/>
      <c r="J30" s="10"/>
      <c r="K30" s="10"/>
      <c r="L30" s="10">
        <f>IF(L35=10,33.8,3.14)</f>
        <v>3.14</v>
      </c>
      <c r="M30" s="54"/>
      <c r="R30" s="12"/>
      <c r="S30" s="12"/>
      <c r="T30" s="12"/>
    </row>
    <row r="31" spans="1:20" ht="12.75">
      <c r="A31" s="6"/>
      <c r="B31" s="7" t="s">
        <v>35</v>
      </c>
      <c r="C31" s="9">
        <f>IF(D11="","",IF(L33=2,"-",ROUNDUP(D15/C32,0)))</f>
        <v>15</v>
      </c>
      <c r="D31" s="7"/>
      <c r="E31" s="6"/>
      <c r="F31" s="7" t="s">
        <v>35</v>
      </c>
      <c r="G31" s="9" t="str">
        <f>IF(D11="","",IF(L35=10,IF(L33=2,ROUNDDOWN((G28-3.6)/7.12,0),"-"),IF(L33=2,ROUNDDOWN((G28-1.09728)/2.17,0),"-")))</f>
        <v>-</v>
      </c>
      <c r="H31" s="7"/>
      <c r="I31" s="13"/>
      <c r="J31" s="10"/>
      <c r="K31" s="10"/>
      <c r="L31" s="10"/>
      <c r="M31" s="55"/>
      <c r="R31" s="12"/>
      <c r="S31" s="12"/>
      <c r="T31" s="12"/>
    </row>
    <row r="32" spans="1:20" ht="12.75">
      <c r="A32" s="6"/>
      <c r="B32" s="7" t="s">
        <v>36</v>
      </c>
      <c r="C32" s="56">
        <f>IF(D11="","",IF(L35=10,IF(L33=2,"-",ROUNDDOWN((C28-1.5)/L8,0)),IF(L33=2,"-",ROUNDDOWN((C28-0.4572)/L14,0))))</f>
        <v>3</v>
      </c>
      <c r="D32" s="7"/>
      <c r="E32" s="6"/>
      <c r="F32" s="7" t="s">
        <v>36</v>
      </c>
      <c r="G32" s="56" t="str">
        <f>IF(D11="","",IF(L35=10,IF(L33=2,ROUNDUP(D15/G31,0),"-"),IF(L33=2,ROUNDUP(D15/G31,0),"-")))</f>
        <v>-</v>
      </c>
      <c r="H32" s="7"/>
      <c r="I32" s="13"/>
      <c r="J32" s="10"/>
      <c r="K32" s="10"/>
      <c r="L32" s="10"/>
      <c r="M32" s="57"/>
      <c r="R32" s="12"/>
      <c r="S32" s="12"/>
      <c r="T32" s="12"/>
    </row>
    <row r="33" spans="1:20" ht="8.25" customHeight="1">
      <c r="A33" s="6"/>
      <c r="B33" s="7"/>
      <c r="C33" s="56"/>
      <c r="D33" s="7"/>
      <c r="E33" s="6"/>
      <c r="F33" s="7"/>
      <c r="G33" s="56"/>
      <c r="H33" s="7"/>
      <c r="I33" s="13"/>
      <c r="J33" s="10"/>
      <c r="K33" s="10"/>
      <c r="L33" s="58">
        <f>IF(D26="width",1,2)</f>
        <v>1</v>
      </c>
      <c r="M33" s="57"/>
      <c r="R33" s="12"/>
      <c r="S33" s="12"/>
      <c r="T33" s="12"/>
    </row>
    <row r="34" spans="1:20" ht="7.5" customHeight="1">
      <c r="A34" s="6"/>
      <c r="B34" s="7"/>
      <c r="C34" s="56"/>
      <c r="D34" s="7"/>
      <c r="E34" s="6"/>
      <c r="F34" s="7"/>
      <c r="G34" s="56"/>
      <c r="H34" s="7"/>
      <c r="I34" s="13"/>
      <c r="J34" s="10"/>
      <c r="K34" s="10"/>
      <c r="L34" s="58"/>
      <c r="M34" s="57"/>
      <c r="N34" s="1" t="s">
        <v>37</v>
      </c>
      <c r="P34" s="14">
        <f>IF(L33=1,C36*2+C37*2,G36*2+G37*2)</f>
        <v>76.87776</v>
      </c>
      <c r="R34" s="12"/>
      <c r="S34" s="12"/>
      <c r="T34" s="12"/>
    </row>
    <row r="35" spans="1:20" ht="7.5" customHeight="1">
      <c r="A35" s="6"/>
      <c r="B35" s="7"/>
      <c r="C35" s="56"/>
      <c r="D35" s="7"/>
      <c r="E35" s="6"/>
      <c r="F35" s="7"/>
      <c r="G35" s="56"/>
      <c r="H35" s="7"/>
      <c r="I35" s="13"/>
      <c r="J35" s="10"/>
      <c r="K35" s="10"/>
      <c r="L35" s="58">
        <f>IF(D4="imperial",10,20)</f>
        <v>20</v>
      </c>
      <c r="M35" s="59"/>
      <c r="R35" s="12"/>
      <c r="S35" s="12"/>
      <c r="T35" s="12"/>
    </row>
    <row r="36" spans="1:20" ht="12.75">
      <c r="A36" s="6"/>
      <c r="B36" s="7" t="s">
        <v>38</v>
      </c>
      <c r="C36" s="97">
        <f>IF(D11="","",IF(L35=10,IF(L33=2,"-",C31*7.12+1.6+2),IF(L33=2,"-",C31*2.17+0.48768+0.609)))</f>
        <v>33.646679999999996</v>
      </c>
      <c r="D36" s="31" t="str">
        <f>IF($L$35=10,"FT","m")</f>
        <v>m</v>
      </c>
      <c r="E36" s="60"/>
      <c r="F36" s="7" t="s">
        <v>38</v>
      </c>
      <c r="G36" s="35" t="str">
        <f>IF(D11="","",IF(L35=10,IF(L33=2,G31*7.12+1.6+2,"-"),IF(L33=2,G31*2.17+0.48768+0.609,"-")))</f>
        <v>-</v>
      </c>
      <c r="H36" s="31" t="str">
        <f>IF($L$35=10,"FT","m")</f>
        <v>m</v>
      </c>
      <c r="I36" s="13"/>
      <c r="J36" s="10"/>
      <c r="K36" s="10"/>
      <c r="L36" s="10"/>
      <c r="R36" s="12"/>
      <c r="S36" s="12"/>
      <c r="T36" s="12"/>
    </row>
    <row r="37" spans="1:20" ht="12.75">
      <c r="A37" s="6"/>
      <c r="B37" s="7" t="s">
        <v>48</v>
      </c>
      <c r="C37" s="97">
        <f>IF(D11="","",IF(L35=10,IF(L33=2,"-",C32*L8+1.5),IF(L33=2,"-",C32*L14+0.4572)))</f>
        <v>4.7922</v>
      </c>
      <c r="D37" s="31" t="str">
        <f>IF($L$35=10,"FT","m")</f>
        <v>m</v>
      </c>
      <c r="E37" s="60"/>
      <c r="F37" s="7" t="s">
        <v>39</v>
      </c>
      <c r="G37" s="35" t="str">
        <f>IF(D11="","",IF(L35=10,IF(L33=2,L8*G32+1.5,"-"),IF(L33=2,L14*G32+0.4572,"-")))</f>
        <v>-</v>
      </c>
      <c r="H37" s="31" t="str">
        <f>IF($L$35=10,"FT","m")</f>
        <v>m</v>
      </c>
      <c r="I37" s="13"/>
      <c r="J37" s="10"/>
      <c r="K37" s="10"/>
      <c r="L37" s="10"/>
      <c r="R37" s="12"/>
      <c r="S37" s="12"/>
      <c r="T37" s="12"/>
    </row>
    <row r="38" spans="1:20" ht="5.25" customHeight="1">
      <c r="A38" s="6"/>
      <c r="B38" s="7"/>
      <c r="C38" s="7"/>
      <c r="D38" s="7"/>
      <c r="E38" s="6"/>
      <c r="F38" s="7"/>
      <c r="G38" s="7"/>
      <c r="H38" s="7"/>
      <c r="I38" s="13"/>
      <c r="J38" s="10"/>
      <c r="K38" s="10"/>
      <c r="L38" s="10"/>
      <c r="N38" s="1" t="s">
        <v>12</v>
      </c>
      <c r="O38" s="1" t="s">
        <v>40</v>
      </c>
      <c r="R38" s="12"/>
      <c r="S38" s="12"/>
      <c r="T38" s="12"/>
    </row>
    <row r="39" spans="1:20" ht="10.5" customHeight="1">
      <c r="A39" s="61">
        <f>IF(D11="","",IF(C31="-","",IF(C31*C32=D15,"",IF(C31="-","",C31*C32-D15))))</f>
      </c>
      <c r="B39" s="26">
        <f>IF(A39="","","rzędy/ów zawierają tylko")</f>
      </c>
      <c r="C39" s="62">
        <f>IF(A39="","",C31-1)</f>
      </c>
      <c r="D39" s="40">
        <f>IF(A39="","","komór")</f>
      </c>
      <c r="E39" s="61">
        <f>IF(D11="","",IF(G31="-","",IF(G31*G32=D15,"",IF(G31="-","",G31*G32-D15))))</f>
      </c>
      <c r="F39" s="26">
        <f>IF(E39="","","rzędy/ów komór zawierają tylko")</f>
      </c>
      <c r="G39" s="26"/>
      <c r="H39" s="62">
        <f>IF(F39="","",G31-1)</f>
      </c>
      <c r="I39" s="63">
        <f>IF(F39="","","komór")</f>
      </c>
      <c r="J39" s="10"/>
      <c r="K39" s="10"/>
      <c r="L39" s="10"/>
      <c r="N39" s="1" t="s">
        <v>41</v>
      </c>
      <c r="O39" s="1" t="s">
        <v>4</v>
      </c>
      <c r="R39" s="12"/>
      <c r="S39" s="12"/>
      <c r="T39" s="12"/>
    </row>
    <row r="40" spans="1:20" ht="5.25" customHeight="1">
      <c r="A40" s="64"/>
      <c r="B40" s="65"/>
      <c r="C40" s="65"/>
      <c r="D40" s="65"/>
      <c r="E40" s="64"/>
      <c r="F40" s="65"/>
      <c r="G40" s="65"/>
      <c r="H40" s="65"/>
      <c r="I40" s="66"/>
      <c r="J40" s="10"/>
      <c r="K40" s="10"/>
      <c r="L40" s="10"/>
      <c r="R40" s="12"/>
      <c r="S40" s="12"/>
      <c r="T40" s="12"/>
    </row>
    <row r="41" spans="1:20" ht="15.75">
      <c r="A41" s="67"/>
      <c r="B41" s="127" t="s">
        <v>42</v>
      </c>
      <c r="C41" s="127"/>
      <c r="D41" s="127"/>
      <c r="E41" s="127"/>
      <c r="F41" s="127"/>
      <c r="G41" s="127"/>
      <c r="H41" s="127"/>
      <c r="I41" s="68"/>
      <c r="J41" s="15"/>
      <c r="K41" s="15"/>
      <c r="L41" s="15"/>
      <c r="R41" s="12"/>
      <c r="S41" s="12"/>
      <c r="T41" s="12"/>
    </row>
    <row r="42" spans="1:20" ht="19.5" customHeight="1" thickBot="1">
      <c r="A42" s="128" t="s">
        <v>43</v>
      </c>
      <c r="B42" s="128"/>
      <c r="C42" s="128"/>
      <c r="D42" s="128"/>
      <c r="E42" s="128"/>
      <c r="F42" s="128"/>
      <c r="G42" s="128"/>
      <c r="H42" s="128"/>
      <c r="I42" s="128"/>
      <c r="J42" s="15"/>
      <c r="K42" s="15"/>
      <c r="L42" s="15"/>
      <c r="R42" s="12"/>
      <c r="S42" s="12"/>
      <c r="T42" s="12"/>
    </row>
    <row r="43" spans="1:20" ht="7.5" customHeight="1" thickBot="1">
      <c r="A43" s="67"/>
      <c r="B43" s="114"/>
      <c r="C43" s="114"/>
      <c r="D43" s="114"/>
      <c r="E43" s="114"/>
      <c r="F43" s="114"/>
      <c r="G43" s="114"/>
      <c r="H43" s="114"/>
      <c r="I43" s="69"/>
      <c r="J43" s="70"/>
      <c r="K43" s="70"/>
      <c r="L43" s="70"/>
      <c r="R43" s="12"/>
      <c r="S43" s="12"/>
      <c r="T43" s="12"/>
    </row>
    <row r="44" spans="2:18" ht="17.25" customHeight="1">
      <c r="B44" s="12"/>
      <c r="C44" s="71"/>
      <c r="D44" s="105"/>
      <c r="E44" s="4"/>
      <c r="F44" s="72"/>
      <c r="G44" s="72"/>
      <c r="H44" s="86"/>
      <c r="I44" s="85"/>
      <c r="J44" s="73"/>
      <c r="K44" s="73"/>
      <c r="L44" s="73"/>
      <c r="R44" s="87"/>
    </row>
    <row r="45" spans="2:12" ht="12.75">
      <c r="B45" s="12"/>
      <c r="C45" s="71"/>
      <c r="D45" s="106"/>
      <c r="E45" s="7"/>
      <c r="F45" s="74"/>
      <c r="G45" s="12"/>
      <c r="H45" s="107"/>
      <c r="I45" s="84"/>
      <c r="J45" s="10"/>
      <c r="K45" s="10"/>
      <c r="L45" s="10"/>
    </row>
    <row r="46" spans="3:12" ht="14.25" customHeight="1">
      <c r="C46" s="91"/>
      <c r="D46" s="104"/>
      <c r="F46" s="111"/>
      <c r="G46" s="82"/>
      <c r="H46" s="89"/>
      <c r="I46" s="1"/>
      <c r="J46" s="10"/>
      <c r="K46" s="10"/>
      <c r="L46" s="10"/>
    </row>
    <row r="47" spans="2:7" ht="15.75">
      <c r="B47" s="90"/>
      <c r="C47" s="83"/>
      <c r="F47" s="12"/>
      <c r="G47" s="91"/>
    </row>
    <row r="48" spans="2:7" ht="12.75">
      <c r="B48" s="12"/>
      <c r="F48" s="12"/>
      <c r="G48" s="54"/>
    </row>
    <row r="50" spans="6:7" ht="12.75">
      <c r="F50" s="90"/>
      <c r="G50" s="103"/>
    </row>
    <row r="51" spans="2:6" ht="12.75">
      <c r="B51" s="12"/>
      <c r="F51" s="12"/>
    </row>
    <row r="52" spans="2:6" ht="12.75">
      <c r="B52" s="12"/>
      <c r="F52" s="12"/>
    </row>
  </sheetData>
  <sheetProtection password="CF71" sheet="1" objects="1" scenarios="1"/>
  <mergeCells count="12">
    <mergeCell ref="G2:I2"/>
    <mergeCell ref="G3:I3"/>
    <mergeCell ref="G4:I4"/>
    <mergeCell ref="G5:I5"/>
    <mergeCell ref="B41:H41"/>
    <mergeCell ref="A42:I42"/>
    <mergeCell ref="B43:H43"/>
    <mergeCell ref="B6:H6"/>
    <mergeCell ref="B27:D27"/>
    <mergeCell ref="F27:H27"/>
    <mergeCell ref="A29:D30"/>
    <mergeCell ref="E29:I30"/>
  </mergeCells>
  <conditionalFormatting sqref="E29:I30 A29">
    <cfRule type="cellIs" priority="1" dxfId="2" operator="equal" stopIfTrue="1">
      <formula>"You have switched between Imperial and Metric Units please check to ensure correct width is entered for the units shown above.  Also check input data for cover over chambers and foundation depth."</formula>
    </cfRule>
  </conditionalFormatting>
  <conditionalFormatting sqref="D11">
    <cfRule type="cellIs" priority="2" dxfId="0" operator="equal" stopIfTrue="1">
      <formula>1</formula>
    </cfRule>
  </conditionalFormatting>
  <dataValidations count="4">
    <dataValidation type="list" allowBlank="1" showErrorMessage="1" sqref="D26">
      <formula1>dim3</formula1>
      <formula2>0</formula2>
    </dataValidation>
    <dataValidation type="list" allowBlank="1" showErrorMessage="1" errorTitle="Error" error="Please click cancel and use the pulldown to enter the units." sqref="D4">
      <formula1>units2</formula1>
      <formula2>0</formula2>
    </dataValidation>
    <dataValidation type="list" allowBlank="1" showErrorMessage="1" sqref="D8">
      <formula1>chambers2</formula1>
      <formula2>0</formula2>
    </dataValidation>
    <dataValidation type="list" allowBlank="1" showErrorMessage="1" promptTitle="Note:" prompt="Please use increments in pulldown list only." errorTitle="Error" error="Invalid Entry.  Click cancel and use values in the pulldown list." sqref="D11">
      <formula1>depth</formula1>
      <formula2>0</formula2>
    </dataValidation>
  </dataValidations>
  <printOptions horizontalCentered="1"/>
  <pageMargins left="0.7479166666666667" right="0.5" top="0.33" bottom="0.4" header="0.34" footer="0.38"/>
  <pageSetup horizontalDpi="600" verticalDpi="600" orientation="landscape" scale="87" r:id="rId4"/>
  <headerFooter alignWithMargins="0">
    <oddFooter>&amp;Cwww.ekobudex.pl
058 554 85 65/66</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Arkusz1"/>
  <dimension ref="B2:J18"/>
  <sheetViews>
    <sheetView showGridLines="0" zoomScale="82" zoomScaleNormal="82" zoomScaleSheetLayoutView="70" zoomScalePageLayoutView="0" workbookViewId="0" topLeftCell="A3">
      <selection activeCell="J11" sqref="J11"/>
    </sheetView>
  </sheetViews>
  <sheetFormatPr defaultColWidth="9.140625" defaultRowHeight="12.75"/>
  <cols>
    <col min="1" max="1" width="7.57421875" style="0" customWidth="1"/>
    <col min="2" max="2" width="11.28125" style="0" customWidth="1"/>
    <col min="3" max="3" width="6.00390625" style="0" customWidth="1"/>
    <col min="4" max="4" width="10.57421875" style="0" customWidth="1"/>
    <col min="8" max="8" width="17.00390625" style="0" customWidth="1"/>
    <col min="9" max="9" width="10.7109375" style="0" customWidth="1"/>
    <col min="10" max="10" width="23.00390625" style="0" customWidth="1"/>
  </cols>
  <sheetData>
    <row r="2" spans="4:9" ht="33.75" customHeight="1">
      <c r="D2" s="75"/>
      <c r="I2" s="76"/>
    </row>
    <row r="3" spans="4:9" ht="39.75" customHeight="1">
      <c r="D3" s="77"/>
      <c r="G3" s="78">
        <f>Komory!C36</f>
        <v>33.646679999999996</v>
      </c>
      <c r="H3" s="76"/>
      <c r="I3" s="77"/>
    </row>
    <row r="4" spans="2:10" ht="17.25" customHeight="1">
      <c r="B4" s="79"/>
      <c r="J4" s="80"/>
    </row>
    <row r="5" ht="6.75" customHeight="1">
      <c r="J5" s="79"/>
    </row>
    <row r="6" ht="27" customHeight="1"/>
    <row r="11" ht="15.75">
      <c r="J11" s="81">
        <f>Komory!C37</f>
        <v>4.7922</v>
      </c>
    </row>
    <row r="17" ht="25.5" customHeight="1">
      <c r="J17" s="79"/>
    </row>
    <row r="18" ht="6" customHeight="1">
      <c r="B18" s="79"/>
    </row>
  </sheetData>
  <sheetProtection/>
  <printOptions/>
  <pageMargins left="0.7479166666666667" right="0.7479166666666667" top="0.9840277777777777" bottom="0.9840277777777777" header="0.5118055555555555" footer="0.5118055555555555"/>
  <pageSetup horizontalDpi="300" verticalDpi="300" orientation="portrait" r:id="rId11"/>
  <legacyDrawing r:id="rId10"/>
  <oleObjects>
    <oleObject progId="" shapeId="70149086" r:id="rId1"/>
    <oleObject progId="" shapeId="70860540" r:id="rId2"/>
    <oleObject progId="" shapeId="70862388" r:id="rId3"/>
    <oleObject progId="" shapeId="70862316" r:id="rId4"/>
    <oleObject progId="" shapeId="70860564" r:id="rId5"/>
    <oleObject progId="" shapeId="70862244" r:id="rId6"/>
    <oleObject progId="" shapeId="70860588" r:id="rId7"/>
    <oleObject progId="" shapeId="70862172" r:id="rId8"/>
    <oleObject progId="" shapeId="70862148" r:id="rId9"/>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2023-11-06T10:13:24Z</cp:lastPrinted>
  <dcterms:created xsi:type="dcterms:W3CDTF">2008-10-16T08:52:04Z</dcterms:created>
  <dcterms:modified xsi:type="dcterms:W3CDTF">2023-11-06T10:14:51Z</dcterms:modified>
  <cp:category/>
  <cp:version/>
  <cp:contentType/>
  <cp:contentStatus/>
</cp:coreProperties>
</file>