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735" windowHeight="4380" activeTab="0"/>
  </bookViews>
  <sheets>
    <sheet name="Sheet1" sheetId="1" r:id="rId1"/>
    <sheet name="Imperial-Metric" sheetId="2" state="hidden" r:id="rId2"/>
    <sheet name="Graph" sheetId="3" state="hidden" r:id="rId3"/>
  </sheets>
  <definedNames>
    <definedName name="AdjChamImp">'Imperial-Metric'!#REF!</definedName>
    <definedName name="AdjChamMetric">'Imperial-Metric'!$R$94</definedName>
    <definedName name="AdjRowsImp">'Imperial-Metric'!#REF!</definedName>
    <definedName name="AdjRowsMetric">'Imperial-Metric'!$N$94</definedName>
    <definedName name="BedSizeImp">'Imperial-Metric'!$D$100</definedName>
    <definedName name="BedSizeMetric">'Imperial-Metric'!$N$100</definedName>
    <definedName name="Chambers">'Imperial-Metric'!$C$133</definedName>
    <definedName name="ChamPerRowImp">'Imperial-Metric'!#REF!</definedName>
    <definedName name="ChamPerRowMetric">'Imperial-Metric'!$X$100</definedName>
    <definedName name="ControlD">'Sheet1'!$E$15</definedName>
    <definedName name="CperROW1">'Sheet1'!$C$25</definedName>
    <definedName name="CperROW2">'Sheet1'!$C$26</definedName>
    <definedName name="EndCapV">'Sheet1'!$E$19</definedName>
    <definedName name="FinalCImperial">'Imperial-Metric'!$C$112</definedName>
    <definedName name="FinalECimperial">'Imperial-Metric'!$C$113</definedName>
    <definedName name="FinalPerImp">'Imperial-Metric'!$D$101</definedName>
    <definedName name="FinalPerMetric">'Imperial-Metric'!$N$101</definedName>
    <definedName name="FoundDepths">'Imperial-Metric'!$B$2:$B$5</definedName>
    <definedName name="ImperialC">'Imperial-Metric'!$C$86</definedName>
    <definedName name="ImperialEC">'Imperial-Metric'!$C$87</definedName>
    <definedName name="ImperialMetric">'Imperial-Metric'!$A$2:$A$3</definedName>
    <definedName name="ImpFoundDepths">'Imperial-Metric'!$B$2:$B$5</definedName>
    <definedName name="IsolatorLImp">'Imperial-Metric'!$D$102</definedName>
    <definedName name="IsoLMetric">'Imperial-Metric'!$X$99</definedName>
    <definedName name="LengthImp">'Imperial-Metric'!$D$104</definedName>
    <definedName name="LengthMetric">'Imperial-Metric'!$N$104</definedName>
    <definedName name="LimitD">'Sheet1'!$E$16</definedName>
    <definedName name="MetricC">'Imperial-Metric'!$M$86</definedName>
    <definedName name="MetricEC">'Imperial-Metric'!$M$87</definedName>
    <definedName name="ROW1">'Sheet1'!$A$25</definedName>
    <definedName name="ROW2">'Sheet1'!$A$26</definedName>
    <definedName name="RowsImp">'Imperial-Metric'!#REF!</definedName>
    <definedName name="RowsMetric">'Imperial-Metric'!$X$101</definedName>
    <definedName name="StorageV">'Sheet1'!$E$10</definedName>
    <definedName name="UNITS">'Sheet1'!$E$9</definedName>
    <definedName name="VperChamber">'Sheet1'!$E$18</definedName>
    <definedName name="WidthImp">'Imperial-Metric'!$D$105</definedName>
    <definedName name="WIDTHLENGTH">'Imperial-Metric'!$D$2:$D$3</definedName>
    <definedName name="WidthMetric">'Imperial-Metric'!$N$105</definedName>
    <definedName name="XX">'Imperial-Metric'!$C$127</definedName>
    <definedName name="YY">'Imperial-Metric'!$C$134</definedName>
  </definedNames>
  <calcPr fullCalcOnLoad="1"/>
</workbook>
</file>

<file path=xl/sharedStrings.xml><?xml version="1.0" encoding="utf-8"?>
<sst xmlns="http://schemas.openxmlformats.org/spreadsheetml/2006/main" count="350" uniqueCount="151">
  <si>
    <t>System Requirements</t>
  </si>
  <si>
    <t>Imperial</t>
  </si>
  <si>
    <t>Metric</t>
  </si>
  <si>
    <t>Stone Porosity (Industry Standard = 40%)</t>
  </si>
  <si>
    <t>%</t>
  </si>
  <si>
    <t>System Sizing</t>
  </si>
  <si>
    <t>WIDTH</t>
  </si>
  <si>
    <t>LENGTH</t>
  </si>
  <si>
    <t>chambers</t>
  </si>
  <si>
    <t>rows</t>
  </si>
  <si>
    <t>system sizing (imperial)</t>
  </si>
  <si>
    <t>end caps</t>
  </si>
  <si>
    <t>CF</t>
  </si>
  <si>
    <t>chambers required</t>
  </si>
  <si>
    <t>Chambers required</t>
  </si>
  <si>
    <t>Chambers Rows</t>
  </si>
  <si>
    <t>chambers per row</t>
  </si>
  <si>
    <t xml:space="preserve"> Length</t>
  </si>
  <si>
    <t>chambers/row</t>
  </si>
  <si>
    <t>no. of rows</t>
  </si>
  <si>
    <t>Width</t>
  </si>
  <si>
    <t>max number of rows</t>
  </si>
  <si>
    <t>End Caps required</t>
  </si>
  <si>
    <t>end cap storage</t>
  </si>
  <si>
    <t>Bed Size</t>
  </si>
  <si>
    <t>each</t>
  </si>
  <si>
    <t>Chamber Rows</t>
  </si>
  <si>
    <t>Chamber Count</t>
  </si>
  <si>
    <t>End Cap Count</t>
  </si>
  <si>
    <t>excess chambers</t>
  </si>
  <si>
    <t>ft.</t>
  </si>
  <si>
    <t xml:space="preserve">long width = </t>
  </si>
  <si>
    <t xml:space="preserve">long length = </t>
  </si>
  <si>
    <t xml:space="preserve">short length = </t>
  </si>
  <si>
    <t xml:space="preserve">short width = </t>
  </si>
  <si>
    <t>Area =</t>
  </si>
  <si>
    <t>SF</t>
  </si>
  <si>
    <t>Perimeter =</t>
  </si>
  <si>
    <t>number of rows</t>
  </si>
  <si>
    <t>Final Bed Size =</t>
  </si>
  <si>
    <t>Final Perimeter =</t>
  </si>
  <si>
    <t>FT</t>
  </si>
  <si>
    <t xml:space="preserve">Final Isolator Row = </t>
  </si>
  <si>
    <t>ft</t>
  </si>
  <si>
    <t>Project Information:</t>
  </si>
  <si>
    <t>total volume</t>
  </si>
  <si>
    <t>± volume</t>
  </si>
  <si>
    <t>For Adding Rows</t>
  </si>
  <si>
    <t>No. Rows to add</t>
  </si>
  <si>
    <t>Chambers</t>
  </si>
  <si>
    <t>End Caps</t>
  </si>
  <si>
    <t>Manifold ~ estimate</t>
  </si>
  <si>
    <t>Quantity</t>
  </si>
  <si>
    <t>Cost/Item</t>
  </si>
  <si>
    <t>of chamber cost</t>
  </si>
  <si>
    <t>Total</t>
  </si>
  <si>
    <t>Subtotal</t>
  </si>
  <si>
    <t>% of chamber cost</t>
  </si>
  <si>
    <t>------</t>
  </si>
  <si>
    <t>per chamber</t>
  </si>
  <si>
    <t>per end cap</t>
  </si>
  <si>
    <t>per unit area</t>
  </si>
  <si>
    <t>Stone</t>
  </si>
  <si>
    <t>Excavation Cost</t>
  </si>
  <si>
    <t>Inlet/Outlet structures</t>
  </si>
  <si>
    <t>number of structures</t>
  </si>
  <si>
    <t>per unit volume</t>
  </si>
  <si>
    <t>per structure</t>
  </si>
  <si>
    <t>Total Material Cost</t>
  </si>
  <si>
    <t>System Cost*</t>
  </si>
  <si>
    <t>Other Contractor Costs*</t>
  </si>
  <si>
    <t>information.</t>
  </si>
  <si>
    <t>Number of chambers to be removed</t>
  </si>
  <si>
    <t>rows of</t>
  </si>
  <si>
    <t>Volume Provided</t>
  </si>
  <si>
    <t>cf</t>
  </si>
  <si>
    <t xml:space="preserve">Maximum Length = </t>
  </si>
  <si>
    <t xml:space="preserve">Maximum Width = </t>
  </si>
  <si>
    <t>Length</t>
  </si>
  <si>
    <t>volume provided</t>
  </si>
  <si>
    <t xml:space="preserve">X = </t>
  </si>
  <si>
    <t xml:space="preserve">Y = </t>
  </si>
  <si>
    <t>system sizing (metric)</t>
  </si>
  <si>
    <t>m</t>
  </si>
  <si>
    <t>CM</t>
  </si>
  <si>
    <t>SM</t>
  </si>
  <si>
    <t xml:space="preserve">Row total = </t>
  </si>
  <si>
    <t xml:space="preserve">ROW1 = </t>
  </si>
  <si>
    <t xml:space="preserve">ROW2 = </t>
  </si>
  <si>
    <t xml:space="preserve">C per ROW1 = </t>
  </si>
  <si>
    <t xml:space="preserve">C per ROW2 = </t>
  </si>
  <si>
    <t>*This represents the estimated material and site work costs (US dollars) for the project.  Materials excluded from this estimate are conveyance pipe, pavement</t>
  </si>
  <si>
    <t xml:space="preserve"> design, etc. It is always advisable to seek detailed construction costs from local installers. Please contact STORMTECH at 888-892-2694 for additional cost </t>
  </si>
  <si>
    <t>chambers/row if less than length (smaller systems)</t>
  </si>
  <si>
    <t>total end caps</t>
  </si>
  <si>
    <t>total chambers</t>
  </si>
  <si>
    <t>Required Volume</t>
  </si>
  <si>
    <t>Provided Volume</t>
  </si>
  <si>
    <t>Num of rows</t>
  </si>
  <si>
    <t>Full rows</t>
  </si>
  <si>
    <t>Partial rows</t>
  </si>
  <si>
    <t>includes partial single row</t>
  </si>
  <si>
    <t>(either 0 or 1)</t>
  </si>
  <si>
    <t>to be used for main sheet</t>
  </si>
  <si>
    <t>Chambers to be removed</t>
  </si>
  <si>
    <t>Number of long rows</t>
  </si>
  <si>
    <t>Number of short rows</t>
  </si>
  <si>
    <t>Volume provided</t>
  </si>
  <si>
    <t>Number of row required</t>
  </si>
  <si>
    <t xml:space="preserve">volume required per </t>
  </si>
  <si>
    <t>volume of full rows</t>
  </si>
  <si>
    <t>Non-woven Filter Fabric</t>
  </si>
  <si>
    <t>Woven Filter Fabric</t>
  </si>
  <si>
    <t>volume per row</t>
  </si>
  <si>
    <t>rows need to be removed/no. of rows?</t>
  </si>
  <si>
    <t>rows need to be added/no. of rows?</t>
  </si>
  <si>
    <t>partial rows removed or added?</t>
  </si>
  <si>
    <t>no of full rows to remove/add</t>
  </si>
  <si>
    <t>no. of chambers</t>
  </si>
  <si>
    <t>no. of end caps</t>
  </si>
  <si>
    <t>MC-4500 Site Calculator</t>
  </si>
  <si>
    <t>System jednostek (Metryczny/Imp)</t>
  </si>
  <si>
    <t>Wymagana pojemność magazynowa systemu</t>
  </si>
  <si>
    <t>Przykrycie komór tłuczniem</t>
  </si>
  <si>
    <t>Fundament z tłucznia pod komorami</t>
  </si>
  <si>
    <t>Przykrycie systemu komór</t>
  </si>
  <si>
    <t>Rozmiar łożyska kontrolowany przez szerokość/długość</t>
  </si>
  <si>
    <t>Dopuszczalna długość lub szerokość łożyska systemu</t>
  </si>
  <si>
    <t>Pojemność przypadająca na 1 komorę z tłuczniem</t>
  </si>
  <si>
    <t>Pojemność przypadająca na 1 pokrywę z tłuczniem</t>
  </si>
  <si>
    <t>Projekt:</t>
  </si>
  <si>
    <t>Lokalizacja:</t>
  </si>
  <si>
    <t>Data:</t>
  </si>
  <si>
    <t>Kontakt:</t>
  </si>
  <si>
    <t xml:space="preserve">Ilość potrzebnych komór </t>
  </si>
  <si>
    <t>Ilosć potrzebnych pokryw</t>
  </si>
  <si>
    <t>Rozmiar łożyska systemu wraz z otaczającym tłuczniem</t>
  </si>
  <si>
    <t>Wymagana minimalna ilośc tłucznia kamiennego 30-60mm</t>
  </si>
  <si>
    <t>Objętość prac ziemnych</t>
  </si>
  <si>
    <t>Łączna pojemność instalacyjna systemu</t>
  </si>
  <si>
    <t>m2</t>
  </si>
  <si>
    <t>ton</t>
  </si>
  <si>
    <t>m3</t>
  </si>
  <si>
    <t>Wymagana minimalna ilość geowłókniny (20% Safety Factor)</t>
  </si>
  <si>
    <t>Długość opcjonalnego ciągu Isolatora</t>
  </si>
  <si>
    <t>Minimalna ilość geotkaniny pod ciąg Isolatora (opcjonalnie)</t>
  </si>
  <si>
    <t>ST RPM:</t>
  </si>
  <si>
    <t>Aktualna dobrana długość =</t>
  </si>
  <si>
    <t>Aktualna dobrana szerokość =</t>
  </si>
  <si>
    <t>Ekobudex Retencja</t>
  </si>
  <si>
    <t>11-2023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</si>
</sst>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#,##0;[Red]\-#,##0"/>
    <numFmt numFmtId="175" formatCode="\$#,##0.00_);&quot;($&quot;#,##0.00\)"/>
  </numFmts>
  <fonts count="57">
    <font>
      <sz val="10"/>
      <name val="Arial"/>
      <family val="0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57"/>
      <name val="Arial"/>
      <family val="2"/>
    </font>
    <font>
      <u val="single"/>
      <sz val="10"/>
      <color indexed="57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right"/>
      <protection hidden="1"/>
    </xf>
    <xf numFmtId="0" fontId="4" fillId="0" borderId="23" xfId="0" applyFont="1" applyFill="1" applyBorder="1" applyAlignment="1" applyProtection="1">
      <alignment horizontal="right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16" fillId="0" borderId="25" xfId="0" applyFont="1" applyBorder="1" applyAlignment="1" applyProtection="1">
      <alignment/>
      <protection hidden="1"/>
    </xf>
    <xf numFmtId="0" fontId="16" fillId="0" borderId="22" xfId="0" applyFont="1" applyBorder="1" applyAlignment="1" applyProtection="1">
      <alignment/>
      <protection hidden="1"/>
    </xf>
    <xf numFmtId="0" fontId="16" fillId="0" borderId="26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18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16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32" borderId="0" xfId="0" applyFont="1" applyFill="1" applyBorder="1" applyAlignment="1" applyProtection="1">
      <alignment horizontal="right"/>
      <protection hidden="1"/>
    </xf>
    <xf numFmtId="0" fontId="6" fillId="32" borderId="0" xfId="0" applyFont="1" applyFill="1" applyBorder="1" applyAlignment="1" applyProtection="1">
      <alignment horizontal="center"/>
      <protection hidden="1"/>
    </xf>
    <xf numFmtId="0" fontId="6" fillId="32" borderId="0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2" borderId="16" xfId="0" applyFont="1" applyFill="1" applyBorder="1" applyAlignment="1" applyProtection="1">
      <alignment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8" fillId="32" borderId="0" xfId="0" applyFont="1" applyFill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 horizontal="left"/>
      <protection hidden="1"/>
    </xf>
    <xf numFmtId="0" fontId="0" fillId="32" borderId="0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1" fontId="0" fillId="32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32" borderId="27" xfId="0" applyFont="1" applyFill="1" applyBorder="1" applyAlignment="1" applyProtection="1">
      <alignment/>
      <protection hidden="1"/>
    </xf>
    <xf numFmtId="0" fontId="0" fillId="32" borderId="27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0" fontId="0" fillId="0" borderId="28" xfId="0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1" fontId="8" fillId="33" borderId="0" xfId="0" applyNumberFormat="1" applyFont="1" applyFill="1" applyBorder="1" applyAlignment="1" applyProtection="1">
      <alignment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172" fontId="0" fillId="3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3" fontId="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72" fontId="0" fillId="0" borderId="0" xfId="0" applyNumberFormat="1" applyFont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/>
      <protection hidden="1"/>
    </xf>
    <xf numFmtId="0" fontId="0" fillId="10" borderId="3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72" fontId="6" fillId="0" borderId="0" xfId="0" applyNumberFormat="1" applyFon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2" fontId="6" fillId="0" borderId="3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hidden="1"/>
    </xf>
    <xf numFmtId="3" fontId="19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72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1" fontId="0" fillId="0" borderId="0" xfId="0" applyNumberFormat="1" applyFont="1" applyAlignment="1" applyProtection="1">
      <alignment horizontal="center"/>
      <protection/>
    </xf>
    <xf numFmtId="2" fontId="0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174" fontId="14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18" fillId="0" borderId="0" xfId="6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3" fillId="34" borderId="31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14" fillId="34" borderId="32" xfId="0" applyFont="1" applyFill="1" applyBorder="1" applyAlignment="1" applyProtection="1">
      <alignment/>
      <protection/>
    </xf>
    <xf numFmtId="0" fontId="4" fillId="34" borderId="32" xfId="0" applyFont="1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10" borderId="34" xfId="0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/>
      <protection/>
    </xf>
    <xf numFmtId="0" fontId="4" fillId="34" borderId="33" xfId="0" applyFont="1" applyFill="1" applyBorder="1" applyAlignment="1" applyProtection="1">
      <alignment/>
      <protection/>
    </xf>
    <xf numFmtId="0" fontId="0" fillId="10" borderId="30" xfId="0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10" borderId="30" xfId="0" applyFont="1" applyFill="1" applyBorder="1" applyAlignment="1" applyProtection="1">
      <alignment horizontal="center"/>
      <protection locked="0"/>
    </xf>
    <xf numFmtId="1" fontId="0" fillId="10" borderId="30" xfId="0" applyNumberFormat="1" applyFill="1" applyBorder="1" applyAlignment="1" applyProtection="1">
      <alignment horizontal="center"/>
      <protection locked="0"/>
    </xf>
    <xf numFmtId="1" fontId="4" fillId="10" borderId="30" xfId="0" applyNumberFormat="1" applyFont="1" applyFill="1" applyBorder="1" applyAlignment="1" applyProtection="1">
      <alignment horizontal="center"/>
      <protection locked="0"/>
    </xf>
    <xf numFmtId="0" fontId="18" fillId="10" borderId="3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73" fontId="4" fillId="0" borderId="22" xfId="0" applyNumberFormat="1" applyFont="1" applyBorder="1" applyAlignment="1" applyProtection="1">
      <alignment horizontal="center"/>
      <protection hidden="1"/>
    </xf>
    <xf numFmtId="173" fontId="4" fillId="0" borderId="35" xfId="0" applyNumberFormat="1" applyFont="1" applyBorder="1" applyAlignment="1" applyProtection="1">
      <alignment horizontal="center"/>
      <protection hidden="1"/>
    </xf>
    <xf numFmtId="173" fontId="4" fillId="0" borderId="24" xfId="0" applyNumberFormat="1" applyFont="1" applyBorder="1" applyAlignment="1" applyProtection="1">
      <alignment horizontal="center"/>
      <protection hidden="1"/>
    </xf>
    <xf numFmtId="173" fontId="4" fillId="0" borderId="36" xfId="0" applyNumberFormat="1" applyFont="1" applyBorder="1" applyAlignment="1" applyProtection="1">
      <alignment horizontal="center"/>
      <protection hidden="1"/>
    </xf>
    <xf numFmtId="173" fontId="0" fillId="10" borderId="37" xfId="0" applyNumberFormat="1" applyFill="1" applyBorder="1" applyAlignment="1" applyProtection="1">
      <alignment horizontal="center"/>
      <protection/>
    </xf>
    <xf numFmtId="173" fontId="0" fillId="10" borderId="38" xfId="0" applyNumberFormat="1" applyFill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right"/>
      <protection hidden="1"/>
    </xf>
    <xf numFmtId="173" fontId="4" fillId="0" borderId="32" xfId="0" applyNumberFormat="1" applyFont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14" fillId="34" borderId="33" xfId="0" applyFont="1" applyFill="1" applyBorder="1" applyAlignment="1" applyProtection="1">
      <alignment horizontal="center"/>
      <protection/>
    </xf>
    <xf numFmtId="9" fontId="0" fillId="10" borderId="37" xfId="0" applyNumberFormat="1" applyFill="1" applyBorder="1" applyAlignment="1" applyProtection="1">
      <alignment horizontal="center"/>
      <protection/>
    </xf>
    <xf numFmtId="9" fontId="0" fillId="10" borderId="38" xfId="0" applyNumberForma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Chamber Layout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"/>
          <c:w val="0.929"/>
          <c:h val="0.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Graph!$C$21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Graph!$D$21:$P$21</c:f>
              <c:numCache/>
            </c:numRef>
          </c:val>
        </c:ser>
        <c:ser>
          <c:idx val="1"/>
          <c:order val="1"/>
          <c:tx>
            <c:strRef>
              <c:f>Graph!$C$22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Graph!$D$22:$P$22</c:f>
              <c:numCache/>
            </c:numRef>
          </c:val>
        </c:ser>
        <c:ser>
          <c:idx val="2"/>
          <c:order val="2"/>
          <c:tx>
            <c:strRef>
              <c:f>Graph!$C$23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Graph!$D$23:$P$23</c:f>
              <c:numCache/>
            </c:numRef>
          </c:val>
        </c:ser>
        <c:ser>
          <c:idx val="3"/>
          <c:order val="3"/>
          <c:tx>
            <c:strRef>
              <c:f>Graph!$C$24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Graph!$D$24:$P$24</c:f>
              <c:numCache/>
            </c:numRef>
          </c:val>
        </c:ser>
        <c:ser>
          <c:idx val="4"/>
          <c:order val="4"/>
          <c:tx>
            <c:strRef>
              <c:f>Graph!$C$25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Graph!$D$25:$P$25</c:f>
              <c:numCache/>
            </c:numRef>
          </c:val>
        </c:ser>
        <c:ser>
          <c:idx val="5"/>
          <c:order val="5"/>
          <c:tx>
            <c:strRef>
              <c:f>Graph!$C$26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Graph!$D$26:$P$26</c:f>
              <c:numCache/>
            </c:numRef>
          </c:val>
        </c:ser>
        <c:ser>
          <c:idx val="6"/>
          <c:order val="6"/>
          <c:tx>
            <c:strRef>
              <c:f>Graph!$C$27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Graph!$D$27:$P$27</c:f>
              <c:numCache/>
            </c:numRef>
          </c:val>
        </c:ser>
        <c:ser>
          <c:idx val="7"/>
          <c:order val="7"/>
          <c:tx>
            <c:strRef>
              <c:f>Graph!$C$28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Graph!$D$28:$P$28</c:f>
              <c:numCache/>
            </c:numRef>
          </c:val>
        </c:ser>
        <c:ser>
          <c:idx val="8"/>
          <c:order val="8"/>
          <c:tx>
            <c:strRef>
              <c:f>Graph!$C$29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Graph!$D$29:$P$29</c:f>
              <c:numCache/>
            </c:numRef>
          </c:val>
        </c:ser>
        <c:overlap val="100"/>
        <c:axId val="14669802"/>
        <c:axId val="30872347"/>
      </c:barChart>
      <c:catAx>
        <c:axId val="146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Rows of Chambers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2347"/>
        <c:crosses val="autoZero"/>
        <c:auto val="1"/>
        <c:lblOffset val="100"/>
        <c:tickLblSkip val="1"/>
        <c:noMultiLvlLbl val="0"/>
      </c:catAx>
      <c:valAx>
        <c:axId val="3087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Chambers per Row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20</xdr:row>
      <xdr:rowOff>38100</xdr:rowOff>
    </xdr:from>
    <xdr:to>
      <xdr:col>8</xdr:col>
      <xdr:colOff>1819275</xdr:colOff>
      <xdr:row>33</xdr:row>
      <xdr:rowOff>228600</xdr:rowOff>
    </xdr:to>
    <xdr:pic>
      <xdr:nvPicPr>
        <xdr:cNvPr id="1" name="Picture 189" descr="MC4500angDoArkus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448050"/>
          <a:ext cx="3457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3</xdr:col>
      <xdr:colOff>990600</xdr:colOff>
      <xdr:row>6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3905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142875</xdr:rowOff>
    </xdr:from>
    <xdr:to>
      <xdr:col>8</xdr:col>
      <xdr:colOff>57150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095375" y="304800"/>
        <a:ext cx="41624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9"/>
  <sheetViews>
    <sheetView tabSelected="1" zoomScale="80" zoomScaleNormal="80" zoomScalePageLayoutView="0" workbookViewId="0" topLeftCell="A1">
      <selection activeCell="N10" sqref="N10"/>
    </sheetView>
  </sheetViews>
  <sheetFormatPr defaultColWidth="9.140625" defaultRowHeight="12.75"/>
  <cols>
    <col min="1" max="1" width="15.421875" style="260" customWidth="1"/>
    <col min="2" max="2" width="16.140625" style="260" customWidth="1"/>
    <col min="3" max="3" width="12.8515625" style="260" customWidth="1"/>
    <col min="4" max="4" width="22.140625" style="260" customWidth="1"/>
    <col min="5" max="5" width="11.8515625" style="260" customWidth="1"/>
    <col min="6" max="6" width="13.421875" style="260" customWidth="1"/>
    <col min="7" max="7" width="15.8515625" style="260" customWidth="1"/>
    <col min="8" max="8" width="16.7109375" style="260" customWidth="1"/>
    <col min="9" max="9" width="32.7109375" style="260" customWidth="1"/>
    <col min="10" max="11" width="9.140625" style="260" customWidth="1"/>
    <col min="12" max="12" width="8.421875" style="260" customWidth="1"/>
    <col min="13" max="13" width="9.140625" style="260" customWidth="1"/>
    <col min="14" max="15" width="10.57421875" style="260" customWidth="1"/>
    <col min="16" max="16384" width="9.140625" style="260" customWidth="1"/>
  </cols>
  <sheetData>
    <row r="1" spans="1:12" ht="12.75">
      <c r="A1" s="256"/>
      <c r="B1" s="257"/>
      <c r="C1" s="257"/>
      <c r="D1" s="257"/>
      <c r="E1" s="257"/>
      <c r="F1" s="258"/>
      <c r="G1" s="259" t="s">
        <v>44</v>
      </c>
      <c r="H1" s="257"/>
      <c r="I1" s="257"/>
      <c r="J1" s="257"/>
      <c r="K1" s="257"/>
      <c r="L1" s="258"/>
    </row>
    <row r="2" spans="1:12" ht="12.75">
      <c r="A2" s="261"/>
      <c r="B2" s="262"/>
      <c r="C2" s="262"/>
      <c r="D2" s="262"/>
      <c r="E2" s="262"/>
      <c r="F2" s="263"/>
      <c r="G2" s="261"/>
      <c r="H2" s="264" t="s">
        <v>130</v>
      </c>
      <c r="I2" s="247"/>
      <c r="J2" s="262"/>
      <c r="K2" s="262"/>
      <c r="L2" s="263"/>
    </row>
    <row r="3" spans="1:12" ht="12.75">
      <c r="A3" s="261"/>
      <c r="B3" s="262"/>
      <c r="C3" s="262"/>
      <c r="D3" s="262"/>
      <c r="E3" s="262"/>
      <c r="F3" s="263"/>
      <c r="G3" s="261"/>
      <c r="H3" s="264" t="s">
        <v>131</v>
      </c>
      <c r="I3" s="247"/>
      <c r="J3" s="262"/>
      <c r="K3" s="262"/>
      <c r="L3" s="263"/>
    </row>
    <row r="4" spans="1:12" ht="12.75">
      <c r="A4" s="261"/>
      <c r="B4" s="262"/>
      <c r="C4" s="262"/>
      <c r="D4" s="262"/>
      <c r="E4" s="262"/>
      <c r="F4" s="263"/>
      <c r="G4" s="261"/>
      <c r="H4" s="264" t="s">
        <v>132</v>
      </c>
      <c r="I4" s="246" t="s">
        <v>150</v>
      </c>
      <c r="J4" s="262"/>
      <c r="K4" s="262"/>
      <c r="L4" s="263"/>
    </row>
    <row r="5" spans="1:12" ht="12.75">
      <c r="A5" s="261"/>
      <c r="B5" s="262"/>
      <c r="C5" s="262"/>
      <c r="D5" s="262"/>
      <c r="E5" s="262"/>
      <c r="F5" s="263"/>
      <c r="G5" s="261"/>
      <c r="H5" s="264" t="s">
        <v>133</v>
      </c>
      <c r="I5" s="51"/>
      <c r="J5" s="262"/>
      <c r="K5" s="262"/>
      <c r="L5" s="263"/>
    </row>
    <row r="6" spans="1:12" ht="12.75">
      <c r="A6" s="261"/>
      <c r="B6" s="262"/>
      <c r="C6" s="262"/>
      <c r="D6" s="262"/>
      <c r="E6" s="262"/>
      <c r="F6" s="263"/>
      <c r="G6" s="261"/>
      <c r="H6" s="264" t="s">
        <v>146</v>
      </c>
      <c r="I6" s="286" t="s">
        <v>149</v>
      </c>
      <c r="J6" s="262"/>
      <c r="K6" s="262"/>
      <c r="L6" s="263"/>
    </row>
    <row r="7" spans="1:12" ht="21" thickBot="1">
      <c r="A7" s="265" t="s">
        <v>120</v>
      </c>
      <c r="B7" s="266"/>
      <c r="C7" s="266"/>
      <c r="D7" s="266"/>
      <c r="E7" s="267"/>
      <c r="F7" s="268"/>
      <c r="G7" s="261"/>
      <c r="H7" s="262"/>
      <c r="I7" s="262"/>
      <c r="J7" s="262"/>
      <c r="K7" s="262"/>
      <c r="L7" s="263"/>
    </row>
    <row r="8" spans="1:12" ht="16.5" thickBot="1">
      <c r="A8" s="269" t="s">
        <v>0</v>
      </c>
      <c r="B8" s="270"/>
      <c r="C8" s="270"/>
      <c r="D8" s="270"/>
      <c r="E8" s="270"/>
      <c r="F8" s="271"/>
      <c r="G8" s="272" t="s">
        <v>5</v>
      </c>
      <c r="H8" s="273"/>
      <c r="I8" s="273"/>
      <c r="J8" s="273"/>
      <c r="K8" s="273"/>
      <c r="L8" s="274"/>
    </row>
    <row r="9" spans="1:12" ht="13.5" customHeight="1">
      <c r="A9" s="256" t="s">
        <v>121</v>
      </c>
      <c r="B9" s="257"/>
      <c r="C9" s="257"/>
      <c r="D9" s="257"/>
      <c r="E9" s="275" t="s">
        <v>2</v>
      </c>
      <c r="F9" s="258"/>
      <c r="G9" s="59" t="s">
        <v>134</v>
      </c>
      <c r="H9" s="60"/>
      <c r="I9" s="60"/>
      <c r="J9" s="229">
        <f>IF(E9="Imperial",ImperialC,MetricC)</f>
        <v>20</v>
      </c>
      <c r="K9" s="60"/>
      <c r="L9" s="62"/>
    </row>
    <row r="10" spans="1:12" ht="12.75">
      <c r="A10" s="261" t="s">
        <v>122</v>
      </c>
      <c r="B10" s="262"/>
      <c r="C10" s="262"/>
      <c r="D10" s="262"/>
      <c r="E10" s="282">
        <v>100</v>
      </c>
      <c r="F10" s="263" t="s">
        <v>142</v>
      </c>
      <c r="G10" s="60" t="s">
        <v>135</v>
      </c>
      <c r="H10" s="60"/>
      <c r="I10" s="60"/>
      <c r="J10" s="229">
        <f>IF(E9="Imperial",ImperialEC,MetricEC)</f>
        <v>4</v>
      </c>
      <c r="K10" s="60"/>
      <c r="L10" s="62"/>
    </row>
    <row r="11" spans="1:12" ht="12.75">
      <c r="A11" s="261" t="s">
        <v>3</v>
      </c>
      <c r="B11" s="262"/>
      <c r="C11" s="262"/>
      <c r="D11" s="262"/>
      <c r="E11" s="283">
        <v>40</v>
      </c>
      <c r="F11" s="263" t="s">
        <v>4</v>
      </c>
      <c r="G11" s="60" t="s">
        <v>136</v>
      </c>
      <c r="H11" s="60"/>
      <c r="I11" s="60"/>
      <c r="J11" s="219">
        <f>IF(E9="Imperial",BedSizeImp,BedSizeMetric)</f>
        <v>85.47036000000001</v>
      </c>
      <c r="K11" s="60" t="s">
        <v>140</v>
      </c>
      <c r="L11" s="62"/>
    </row>
    <row r="12" spans="1:12" ht="12.75">
      <c r="A12" s="261" t="s">
        <v>123</v>
      </c>
      <c r="B12" s="262"/>
      <c r="C12" s="262"/>
      <c r="D12" s="276" t="str">
        <f>IF(E9="Imperial","(12 inch min.)","(305 mm min.)")</f>
        <v>(305 mm min.)</v>
      </c>
      <c r="E12" s="284">
        <v>310</v>
      </c>
      <c r="F12" s="263" t="str">
        <f>IF($E$9="Imperial","inches","mm")</f>
        <v>mm</v>
      </c>
      <c r="G12" s="60" t="s">
        <v>137</v>
      </c>
      <c r="H12" s="60"/>
      <c r="I12" s="60"/>
      <c r="J12" s="232">
        <f>IF(E9="Metric",(((J11*((E13/1000)+1.524+(E12/1000)))-(3.01*J9+1.01*J10))*1.681),(((J11*((E13/12)+5+(E12/12)))-(106.5*J9+J10*35.7))*(105/2000)))</f>
        <v>188.55915353024005</v>
      </c>
      <c r="K12" s="60" t="s">
        <v>141</v>
      </c>
      <c r="L12" s="62"/>
    </row>
    <row r="13" spans="1:23" ht="12.75">
      <c r="A13" s="261" t="s">
        <v>124</v>
      </c>
      <c r="B13" s="262"/>
      <c r="C13" s="262"/>
      <c r="D13" s="276" t="str">
        <f>IF(E9="Imperial","(9 inch min.)","(229 mm min.)")</f>
        <v>(229 mm min.)</v>
      </c>
      <c r="E13" s="282">
        <v>230</v>
      </c>
      <c r="F13" s="263" t="str">
        <f>IF($E$9="Imperial","inches","mm")</f>
        <v>mm</v>
      </c>
      <c r="G13" s="60" t="s">
        <v>138</v>
      </c>
      <c r="H13" s="60"/>
      <c r="I13" s="60"/>
      <c r="J13" s="64">
        <f>IF(E9="Imperial",(J11*((E13/12)+5+(E14/12)))/27,(J11*((E13/1000)+1.524+(E14/1000))))</f>
        <v>235.38537144000003</v>
      </c>
      <c r="K13" s="60" t="s">
        <v>142</v>
      </c>
      <c r="L13" s="62"/>
      <c r="S13" s="262"/>
      <c r="T13" s="262"/>
      <c r="U13" s="262"/>
      <c r="V13" s="262"/>
      <c r="W13" s="262"/>
    </row>
    <row r="14" spans="1:23" ht="12.75">
      <c r="A14" s="261" t="s">
        <v>125</v>
      </c>
      <c r="B14" s="262"/>
      <c r="C14" s="262"/>
      <c r="D14" s="276" t="str">
        <f>IF(E9="Imperial","(24 inch min.)","(610 mm min.)")</f>
        <v>(610 mm min.)</v>
      </c>
      <c r="E14" s="216">
        <v>1000</v>
      </c>
      <c r="F14" s="263" t="str">
        <f>IF($E$9="Imperial","inches","mm")</f>
        <v>mm</v>
      </c>
      <c r="G14" s="60" t="s">
        <v>143</v>
      </c>
      <c r="H14" s="60"/>
      <c r="I14" s="60"/>
      <c r="J14" s="231">
        <f>IF(E9="Imperial",1.2*((2*J11)+(FinalPerImp*((E13/12)+5+(E12/12))))/9,1.2*((2*J11)+(FinalPerMetric*((E13/1000)+1.524+(E12/1000)))))</f>
        <v>305.9792064</v>
      </c>
      <c r="K14" s="60" t="s">
        <v>140</v>
      </c>
      <c r="L14" s="62"/>
      <c r="Q14" s="60"/>
      <c r="R14" s="60"/>
      <c r="S14" s="60"/>
      <c r="T14" s="217"/>
      <c r="U14" s="60"/>
      <c r="V14" s="60"/>
      <c r="W14" s="262"/>
    </row>
    <row r="15" spans="1:12" ht="12.75">
      <c r="A15" s="261" t="s">
        <v>126</v>
      </c>
      <c r="B15" s="262"/>
      <c r="C15" s="262"/>
      <c r="D15" s="262"/>
      <c r="E15" s="216" t="s">
        <v>6</v>
      </c>
      <c r="F15" s="263"/>
      <c r="G15" s="60" t="s">
        <v>144</v>
      </c>
      <c r="H15" s="60"/>
      <c r="I15" s="60"/>
      <c r="J15" s="65">
        <f>E28</f>
        <v>14.440000000000001</v>
      </c>
      <c r="K15" s="60" t="s">
        <v>83</v>
      </c>
      <c r="L15" s="62"/>
    </row>
    <row r="16" spans="1:12" ht="12.75">
      <c r="A16" s="261" t="s">
        <v>127</v>
      </c>
      <c r="B16" s="262"/>
      <c r="C16" s="262"/>
      <c r="D16" s="262"/>
      <c r="E16" s="285">
        <v>6</v>
      </c>
      <c r="F16" s="263" t="s">
        <v>83</v>
      </c>
      <c r="G16" s="60" t="s">
        <v>145</v>
      </c>
      <c r="H16" s="60"/>
      <c r="I16" s="60"/>
      <c r="J16" s="64">
        <f>IF(E9="Imperial",(1.2*10.3*2*J15)/9,(1.2*3.139*2*J15))</f>
        <v>108.785184</v>
      </c>
      <c r="K16" s="60" t="s">
        <v>140</v>
      </c>
      <c r="L16" s="62"/>
    </row>
    <row r="17" spans="1:12" ht="12.75">
      <c r="A17" s="111">
        <f>IF(E9="Metric",IF(OR(E12&lt;152,E13&lt;229,E14&lt;457),"A value above does not meet StormTech's minimum requirements!",""),"")</f>
      </c>
      <c r="B17" s="60"/>
      <c r="C17" s="60"/>
      <c r="D17" s="60"/>
      <c r="E17" s="60"/>
      <c r="F17" s="62"/>
      <c r="L17" s="263"/>
    </row>
    <row r="18" spans="1:12" ht="12.75">
      <c r="A18" s="71" t="s">
        <v>128</v>
      </c>
      <c r="B18" s="60"/>
      <c r="C18" s="60"/>
      <c r="D18" s="60"/>
      <c r="E18" s="218">
        <f>ROUNDDOWN((IF($E$9="Imperial",(((4.025*9.083*(($E$13/12)+5+($E$12/12)))-106.5)*$E$11/100)+106.5,(((1.2268*2.7685*(($E$13/1000)+1.524+($E$12/1000)))-3.01577)*$E$11/100)+3.01577)),1)</f>
        <v>4.6</v>
      </c>
      <c r="F18" s="62" t="s">
        <v>142</v>
      </c>
      <c r="G18" s="74"/>
      <c r="H18" s="74"/>
      <c r="I18" s="74"/>
      <c r="J18" s="74"/>
      <c r="K18" s="74"/>
      <c r="L18" s="62"/>
    </row>
    <row r="19" spans="1:12" ht="12.75">
      <c r="A19" s="71" t="s">
        <v>129</v>
      </c>
      <c r="B19" s="60"/>
      <c r="C19" s="60"/>
      <c r="D19" s="60"/>
      <c r="E19" s="218">
        <f>ROUNDDOWN(IF($E$9="Imperial",((((2.55833+1)*9.083*(($E$13/12)+5+($E$12/12)))-35.7)*($E$11/100))+35.7,((((0.77978+0.305)*2.7686*(($E$13/1000)+1.524+($E$12/1000)))-1.01)*($E$11/100))+1.01),1)</f>
        <v>3</v>
      </c>
      <c r="F19" s="62" t="s">
        <v>142</v>
      </c>
      <c r="G19" s="60" t="s">
        <v>139</v>
      </c>
      <c r="H19" s="60"/>
      <c r="I19" s="60"/>
      <c r="J19" s="230">
        <f>J9*VperChamber+J10*EndCapV</f>
        <v>104</v>
      </c>
      <c r="K19" s="66" t="s">
        <v>142</v>
      </c>
      <c r="L19" s="62"/>
    </row>
    <row r="20" spans="1:12" ht="13.5" thickBot="1">
      <c r="A20" s="71"/>
      <c r="B20" s="60"/>
      <c r="C20" s="60"/>
      <c r="D20" s="60"/>
      <c r="E20" s="112"/>
      <c r="F20" s="62"/>
      <c r="G20" s="67"/>
      <c r="H20" s="60"/>
      <c r="I20" s="60"/>
      <c r="J20" s="60"/>
      <c r="K20" s="60"/>
      <c r="L20" s="62"/>
    </row>
    <row r="21" spans="1:12" ht="16.5" thickBot="1">
      <c r="A21" s="277"/>
      <c r="B21" s="302" t="str">
        <f>IF(ControlD="WIDTH","dobór szerokością - rzędami"," dobór długością")</f>
        <v>dobór szerokością - rzędami</v>
      </c>
      <c r="C21" s="302"/>
      <c r="D21" s="303"/>
      <c r="E21" s="303"/>
      <c r="F21" s="278"/>
      <c r="G21" s="59"/>
      <c r="H21" s="59"/>
      <c r="I21" s="59"/>
      <c r="J21" s="59"/>
      <c r="K21" s="59"/>
      <c r="L21" s="69"/>
    </row>
    <row r="22" spans="1:12" ht="15.75">
      <c r="A22" s="68"/>
      <c r="B22" s="59"/>
      <c r="C22" s="59"/>
      <c r="D22" s="59"/>
      <c r="E22" s="59"/>
      <c r="F22" s="69"/>
      <c r="G22" s="113"/>
      <c r="H22" s="114"/>
      <c r="I22" s="114"/>
      <c r="J22" s="114"/>
      <c r="K22" s="81">
        <f>E14</f>
        <v>1000</v>
      </c>
      <c r="L22" s="62"/>
    </row>
    <row r="23" spans="1:12" ht="13.5" thickBot="1">
      <c r="A23" s="70" t="str">
        <f>IF(ControlD="WIDTH","Maksymalna szerokość =","Maksymalna długość =")</f>
        <v>Maksymalna szerokość =</v>
      </c>
      <c r="B23" s="60"/>
      <c r="C23" s="60"/>
      <c r="D23" s="60"/>
      <c r="E23" s="61">
        <f>IF(ControlD="WIDTH",LimitD,LimitD)</f>
        <v>6</v>
      </c>
      <c r="F23" s="62" t="str">
        <f>IF(E9="Imperial","feet","meters")</f>
        <v>meters</v>
      </c>
      <c r="G23" s="66"/>
      <c r="H23" s="60"/>
      <c r="I23" s="60"/>
      <c r="J23" s="60"/>
      <c r="K23" s="82" t="str">
        <f>F14</f>
        <v>mm</v>
      </c>
      <c r="L23" s="62"/>
    </row>
    <row r="24" spans="1:12" ht="11.25" customHeight="1" thickBot="1">
      <c r="A24" s="71"/>
      <c r="B24" s="60"/>
      <c r="C24" s="60"/>
      <c r="D24" s="60"/>
      <c r="E24" s="61"/>
      <c r="F24" s="62"/>
      <c r="G24" s="60"/>
      <c r="H24" s="60"/>
      <c r="I24" s="60"/>
      <c r="J24" s="60"/>
      <c r="K24" s="74"/>
      <c r="L24" s="62"/>
    </row>
    <row r="25" spans="1:12" ht="15">
      <c r="A25" s="220">
        <f>IF(ControlD="WIDTH",IF(E9="Imperial",'Imperial-Metric'!C55,'Imperial-Metric'!L67),IF(E9="Imperial",'Imperial-Metric'!B77,'Imperial-Metric'!L77))</f>
        <v>2</v>
      </c>
      <c r="B25" s="72" t="str">
        <f>IF(ROW1=1,"rząd","rzędów po")</f>
        <v>rzędów po</v>
      </c>
      <c r="C25" s="221">
        <f>IF(ControlD="WIDTH",IF(E9="Imperial",'Imperial-Metric'!G55,'Imperial-Metric'!N67),IF(E9="Imperial",'Imperial-Metric'!D77,'Imperial-Metric'!N77))</f>
        <v>10</v>
      </c>
      <c r="D25" s="73" t="str">
        <f>IF(CperROW1=1,"komór","komór")</f>
        <v>komór</v>
      </c>
      <c r="E25" s="74"/>
      <c r="F25" s="62"/>
      <c r="G25" s="60"/>
      <c r="H25" s="60"/>
      <c r="I25" s="60"/>
      <c r="J25" s="60"/>
      <c r="K25" s="83">
        <f>E12</f>
        <v>310</v>
      </c>
      <c r="L25" s="62"/>
    </row>
    <row r="26" spans="1:12" ht="15.75" thickBot="1">
      <c r="A26" s="220">
        <f>IF(ControlD="WIDTH",IF(E9="Imperial",'Imperial-Metric'!B69,'Imperial-Metric'!L68),IF(E9="Imperial",'Imperial-Metric'!B79,'Imperial-Metric'!L78))</f>
        <v>0</v>
      </c>
      <c r="B26" s="72" t="str">
        <f>IF(ROW2="","","rzędów po")</f>
        <v>rzędów po</v>
      </c>
      <c r="C26" s="221">
        <f>IF(ControlD="WIDTH",IF(E9="Imperial",'Imperial-Metric'!D69,'Imperial-Metric'!N68),IF(E9="Imperial",'Imperial-Metric'!D79,'Imperial-Metric'!N78))</f>
        <v>0</v>
      </c>
      <c r="D26" s="73" t="str">
        <f>IF(CperROW2="","",IF(CperROW2=1,"komór","komór"))</f>
        <v>komór</v>
      </c>
      <c r="E26" s="74"/>
      <c r="F26" s="62"/>
      <c r="G26" s="60"/>
      <c r="H26" s="60"/>
      <c r="I26" s="60"/>
      <c r="J26" s="60"/>
      <c r="K26" s="82" t="str">
        <f>F12</f>
        <v>mm</v>
      </c>
      <c r="L26" s="62"/>
    </row>
    <row r="27" spans="1:12" ht="12.75">
      <c r="A27" s="71"/>
      <c r="B27" s="60"/>
      <c r="C27" s="60"/>
      <c r="D27" s="60"/>
      <c r="E27" s="61"/>
      <c r="F27" s="62"/>
      <c r="G27" s="60"/>
      <c r="H27" s="60"/>
      <c r="I27" s="60"/>
      <c r="J27" s="60"/>
      <c r="K27" s="61"/>
      <c r="L27" s="62"/>
    </row>
    <row r="28" spans="1:12" ht="12.75">
      <c r="A28" s="71" t="s">
        <v>147</v>
      </c>
      <c r="B28" s="60"/>
      <c r="C28" s="60"/>
      <c r="D28" s="60"/>
      <c r="E28" s="233">
        <f>IF(E9="Imperial",LengthImp,LengthMetric)</f>
        <v>14.440000000000001</v>
      </c>
      <c r="F28" s="62" t="str">
        <f>IF(E9="Imperial","feet","meters")</f>
        <v>meters</v>
      </c>
      <c r="G28" s="60"/>
      <c r="H28" s="60"/>
      <c r="I28" s="60"/>
      <c r="J28" s="60"/>
      <c r="K28" s="61"/>
      <c r="L28" s="62"/>
    </row>
    <row r="29" spans="1:12" ht="12.75">
      <c r="A29" s="71" t="s">
        <v>148</v>
      </c>
      <c r="B29" s="60"/>
      <c r="C29" s="60"/>
      <c r="D29" s="60"/>
      <c r="E29" s="233">
        <f>IF(E9="Imperial",WidthImp,WidthMetric)</f>
        <v>5.9190000000000005</v>
      </c>
      <c r="F29" s="62" t="str">
        <f>IF(E9="Imperial","feet","meters")</f>
        <v>meters</v>
      </c>
      <c r="G29" s="60"/>
      <c r="H29" s="60"/>
      <c r="I29" s="60"/>
      <c r="J29" s="60"/>
      <c r="K29" s="61"/>
      <c r="L29" s="62"/>
    </row>
    <row r="30" spans="1:12" ht="12.75">
      <c r="A30" s="71"/>
      <c r="B30" s="60"/>
      <c r="C30" s="60"/>
      <c r="D30" s="60"/>
      <c r="E30" s="60"/>
      <c r="F30" s="62"/>
      <c r="G30" s="60"/>
      <c r="H30" s="60"/>
      <c r="I30" s="60"/>
      <c r="J30" s="60"/>
      <c r="K30" s="61"/>
      <c r="L30" s="62"/>
    </row>
    <row r="31" spans="1:12" ht="13.5" thickBot="1">
      <c r="A31" s="71"/>
      <c r="B31" s="108"/>
      <c r="C31" s="60"/>
      <c r="D31" s="60"/>
      <c r="E31" s="60"/>
      <c r="F31" s="62"/>
      <c r="G31" s="60"/>
      <c r="H31" s="60"/>
      <c r="I31" s="60"/>
      <c r="J31" s="60"/>
      <c r="K31" s="60"/>
      <c r="L31" s="62"/>
    </row>
    <row r="32" spans="1:12" ht="12.75">
      <c r="A32" s="71"/>
      <c r="B32" s="108"/>
      <c r="C32" s="60"/>
      <c r="D32" s="60"/>
      <c r="E32" s="60"/>
      <c r="F32" s="62"/>
      <c r="G32" s="60"/>
      <c r="H32" s="60"/>
      <c r="I32" s="60"/>
      <c r="J32" s="60"/>
      <c r="K32" s="81">
        <f>E13</f>
        <v>230</v>
      </c>
      <c r="L32" s="62"/>
    </row>
    <row r="33" spans="1:12" ht="13.5" thickBot="1">
      <c r="A33" s="75"/>
      <c r="B33" s="76"/>
      <c r="C33" s="76"/>
      <c r="D33" s="60"/>
      <c r="E33" s="77"/>
      <c r="F33" s="78"/>
      <c r="G33" s="77"/>
      <c r="H33" s="76"/>
      <c r="I33" s="60"/>
      <c r="J33" s="60"/>
      <c r="K33" s="82" t="str">
        <f>F13</f>
        <v>mm</v>
      </c>
      <c r="L33" s="62"/>
    </row>
    <row r="34" spans="1:12" ht="18.75" customHeight="1" thickBot="1">
      <c r="A34" s="79"/>
      <c r="B34" s="67"/>
      <c r="C34" s="67"/>
      <c r="D34" s="67"/>
      <c r="E34" s="67"/>
      <c r="F34" s="80"/>
      <c r="G34" s="67"/>
      <c r="H34" s="67"/>
      <c r="I34" s="67"/>
      <c r="J34" s="67"/>
      <c r="K34" s="67"/>
      <c r="L34" s="84"/>
    </row>
    <row r="35" spans="1:12" ht="16.5" hidden="1" thickBot="1">
      <c r="A35" s="297" t="s">
        <v>69</v>
      </c>
      <c r="B35" s="302"/>
      <c r="C35" s="302"/>
      <c r="D35" s="302"/>
      <c r="E35" s="303"/>
      <c r="F35" s="302"/>
      <c r="G35" s="302"/>
      <c r="H35" s="302"/>
      <c r="I35" s="302"/>
      <c r="J35" s="302"/>
      <c r="K35" s="302"/>
      <c r="L35" s="304"/>
    </row>
    <row r="36" spans="1:12" ht="12.75" hidden="1">
      <c r="A36" s="68"/>
      <c r="B36" s="59"/>
      <c r="C36" s="59"/>
      <c r="D36" s="59"/>
      <c r="E36" s="85" t="s">
        <v>52</v>
      </c>
      <c r="F36" s="300" t="s">
        <v>53</v>
      </c>
      <c r="G36" s="300"/>
      <c r="H36" s="88"/>
      <c r="I36" s="88"/>
      <c r="J36" s="301" t="s">
        <v>55</v>
      </c>
      <c r="K36" s="301"/>
      <c r="L36" s="69"/>
    </row>
    <row r="37" spans="1:12" ht="12.75" hidden="1">
      <c r="A37" s="71" t="s">
        <v>49</v>
      </c>
      <c r="B37" s="60"/>
      <c r="C37" s="60"/>
      <c r="D37" s="86" t="s">
        <v>25</v>
      </c>
      <c r="E37" s="61">
        <f>J9</f>
        <v>20</v>
      </c>
      <c r="F37" s="293">
        <v>335</v>
      </c>
      <c r="G37" s="294"/>
      <c r="H37" s="60" t="s">
        <v>59</v>
      </c>
      <c r="I37" s="60"/>
      <c r="J37" s="295">
        <f>E37*F37</f>
        <v>6700</v>
      </c>
      <c r="K37" s="295"/>
      <c r="L37" s="62"/>
    </row>
    <row r="38" spans="1:12" ht="12.75" hidden="1">
      <c r="A38" s="71" t="s">
        <v>50</v>
      </c>
      <c r="B38" s="60"/>
      <c r="C38" s="60"/>
      <c r="D38" s="86" t="s">
        <v>25</v>
      </c>
      <c r="E38" s="61">
        <f>J10</f>
        <v>4</v>
      </c>
      <c r="F38" s="293">
        <v>300</v>
      </c>
      <c r="G38" s="294"/>
      <c r="H38" s="60" t="s">
        <v>60</v>
      </c>
      <c r="I38" s="60"/>
      <c r="J38" s="295">
        <f>E38*F38</f>
        <v>1200</v>
      </c>
      <c r="K38" s="295"/>
      <c r="L38" s="62"/>
    </row>
    <row r="39" spans="1:12" ht="12.75" hidden="1">
      <c r="A39" s="71" t="s">
        <v>111</v>
      </c>
      <c r="B39" s="60"/>
      <c r="C39" s="60"/>
      <c r="D39" s="86" t="str">
        <f>IF(E9="Imperial","square yards","square meters")</f>
        <v>square meters</v>
      </c>
      <c r="E39" s="64">
        <f>J14</f>
        <v>305.9792064</v>
      </c>
      <c r="F39" s="293">
        <v>1</v>
      </c>
      <c r="G39" s="294"/>
      <c r="H39" s="60" t="s">
        <v>61</v>
      </c>
      <c r="I39" s="60"/>
      <c r="J39" s="295">
        <f>E39*F39</f>
        <v>305.9792064</v>
      </c>
      <c r="K39" s="295"/>
      <c r="L39" s="62"/>
    </row>
    <row r="40" spans="1:12" ht="12.75" hidden="1">
      <c r="A40" s="71" t="s">
        <v>112</v>
      </c>
      <c r="B40" s="60"/>
      <c r="C40" s="60"/>
      <c r="D40" s="86" t="str">
        <f>IF(E9="Imperial","square yards","square meters")</f>
        <v>square meters</v>
      </c>
      <c r="E40" s="64">
        <f>J16</f>
        <v>108.785184</v>
      </c>
      <c r="F40" s="293">
        <v>1</v>
      </c>
      <c r="G40" s="294"/>
      <c r="H40" s="60" t="s">
        <v>61</v>
      </c>
      <c r="I40" s="60"/>
      <c r="J40" s="295">
        <f>E40*F40</f>
        <v>108.785184</v>
      </c>
      <c r="K40" s="295"/>
      <c r="L40" s="62"/>
    </row>
    <row r="41" spans="1:12" ht="13.5" hidden="1" thickBot="1">
      <c r="A41" s="71" t="s">
        <v>51</v>
      </c>
      <c r="B41" s="60"/>
      <c r="C41" s="60"/>
      <c r="D41" s="86" t="s">
        <v>57</v>
      </c>
      <c r="E41" s="87" t="s">
        <v>58</v>
      </c>
      <c r="F41" s="305">
        <v>0.15</v>
      </c>
      <c r="G41" s="306"/>
      <c r="H41" s="60" t="s">
        <v>54</v>
      </c>
      <c r="I41" s="60"/>
      <c r="J41" s="295">
        <f>F41*J37</f>
        <v>1005</v>
      </c>
      <c r="K41" s="295"/>
      <c r="L41" s="62"/>
    </row>
    <row r="42" spans="1:12" ht="13.5" hidden="1" thickBot="1">
      <c r="A42" s="79"/>
      <c r="B42" s="67"/>
      <c r="C42" s="67"/>
      <c r="D42" s="67"/>
      <c r="E42" s="67"/>
      <c r="F42" s="267"/>
      <c r="G42" s="267"/>
      <c r="H42" s="67"/>
      <c r="I42" s="89" t="s">
        <v>56</v>
      </c>
      <c r="J42" s="296">
        <f>SUM(J37:K41)</f>
        <v>9319.7643904</v>
      </c>
      <c r="K42" s="296"/>
      <c r="L42" s="80"/>
    </row>
    <row r="43" spans="1:12" ht="16.5" hidden="1" thickBot="1">
      <c r="A43" s="297" t="s">
        <v>70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9"/>
    </row>
    <row r="44" spans="1:12" ht="12.75" hidden="1">
      <c r="A44" s="68"/>
      <c r="B44" s="59"/>
      <c r="C44" s="59"/>
      <c r="D44" s="59"/>
      <c r="E44" s="85" t="s">
        <v>52</v>
      </c>
      <c r="F44" s="300" t="s">
        <v>53</v>
      </c>
      <c r="G44" s="300"/>
      <c r="H44" s="88"/>
      <c r="I44" s="88"/>
      <c r="J44" s="301" t="s">
        <v>55</v>
      </c>
      <c r="K44" s="301"/>
      <c r="L44" s="69"/>
    </row>
    <row r="45" spans="1:12" ht="12.75" hidden="1">
      <c r="A45" s="71" t="s">
        <v>62</v>
      </c>
      <c r="B45" s="60"/>
      <c r="C45" s="60"/>
      <c r="D45" s="86" t="str">
        <f>IF(E9="Imperial","tons","metric tonnes")</f>
        <v>metric tonnes</v>
      </c>
      <c r="E45" s="64">
        <f>J12</f>
        <v>188.55915353024005</v>
      </c>
      <c r="F45" s="293">
        <v>15</v>
      </c>
      <c r="G45" s="294"/>
      <c r="H45" s="60" t="s">
        <v>66</v>
      </c>
      <c r="I45" s="60"/>
      <c r="J45" s="295">
        <f>E45*F45</f>
        <v>2828.3873029536007</v>
      </c>
      <c r="K45" s="295"/>
      <c r="L45" s="62"/>
    </row>
    <row r="46" spans="1:12" ht="12.75" hidden="1">
      <c r="A46" s="71" t="s">
        <v>63</v>
      </c>
      <c r="B46" s="60"/>
      <c r="C46" s="60"/>
      <c r="D46" s="86" t="str">
        <f>IF(E9="Imperial","cubic yards","cubic meters")</f>
        <v>cubic meters</v>
      </c>
      <c r="E46" s="64">
        <f>J13</f>
        <v>235.38537144000003</v>
      </c>
      <c r="F46" s="293">
        <v>10</v>
      </c>
      <c r="G46" s="294"/>
      <c r="H46" s="60" t="s">
        <v>66</v>
      </c>
      <c r="I46" s="60"/>
      <c r="J46" s="295">
        <f>E46*F46</f>
        <v>2353.8537144</v>
      </c>
      <c r="K46" s="295"/>
      <c r="L46" s="62"/>
    </row>
    <row r="47" spans="1:12" ht="13.5" hidden="1" thickBot="1">
      <c r="A47" s="71" t="s">
        <v>64</v>
      </c>
      <c r="B47" s="60"/>
      <c r="C47" s="60"/>
      <c r="D47" s="86" t="s">
        <v>65</v>
      </c>
      <c r="E47" s="279">
        <v>2</v>
      </c>
      <c r="F47" s="293">
        <v>500</v>
      </c>
      <c r="G47" s="294"/>
      <c r="H47" s="60" t="s">
        <v>67</v>
      </c>
      <c r="I47" s="60"/>
      <c r="J47" s="295">
        <f>E47*F47</f>
        <v>1000</v>
      </c>
      <c r="K47" s="295"/>
      <c r="L47" s="62"/>
    </row>
    <row r="48" spans="1:12" ht="13.5" hidden="1" thickBot="1">
      <c r="A48" s="79"/>
      <c r="B48" s="67"/>
      <c r="C48" s="67"/>
      <c r="D48" s="67"/>
      <c r="E48" s="67"/>
      <c r="F48" s="267"/>
      <c r="G48" s="267"/>
      <c r="H48" s="60"/>
      <c r="I48" s="90" t="s">
        <v>56</v>
      </c>
      <c r="J48" s="287">
        <f>SUM(J45:K47)</f>
        <v>6182.241017353601</v>
      </c>
      <c r="K48" s="288"/>
      <c r="L48" s="80"/>
    </row>
    <row r="49" spans="1:12" ht="13.5" hidden="1" thickTop="1">
      <c r="A49" s="256"/>
      <c r="B49" s="257"/>
      <c r="C49" s="257"/>
      <c r="D49" s="257"/>
      <c r="E49" s="257"/>
      <c r="F49" s="257"/>
      <c r="G49" s="257"/>
      <c r="H49" s="91"/>
      <c r="I49" s="92" t="s">
        <v>68</v>
      </c>
      <c r="J49" s="289">
        <f>J42+J48</f>
        <v>15502.0054077536</v>
      </c>
      <c r="K49" s="290"/>
      <c r="L49" s="69"/>
    </row>
    <row r="50" spans="1:12" ht="13.5" hidden="1" thickBot="1">
      <c r="A50" s="261"/>
      <c r="B50" s="262"/>
      <c r="C50" s="262"/>
      <c r="D50" s="262"/>
      <c r="E50" s="262"/>
      <c r="F50" s="262"/>
      <c r="G50" s="262"/>
      <c r="H50" s="93"/>
      <c r="I50" s="94" t="str">
        <f>IF(E9="Imperial","Cost per cubic foot","cost per cubic meter")</f>
        <v>cost per cubic meter</v>
      </c>
      <c r="J50" s="291">
        <f>J49/StorageV</f>
        <v>155.020054077536</v>
      </c>
      <c r="K50" s="292"/>
      <c r="L50" s="62"/>
    </row>
    <row r="51" spans="1:12" ht="13.5" hidden="1" thickTop="1">
      <c r="A51" s="95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</row>
    <row r="52" spans="1:12" ht="12.75" hidden="1">
      <c r="A52" s="98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0"/>
    </row>
    <row r="53" spans="1:12" ht="13.5" hidden="1" thickBot="1">
      <c r="A53" s="101" t="s">
        <v>71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ht="12.75">
      <c r="D54" s="280"/>
    </row>
    <row r="55" spans="1:10" ht="12.75">
      <c r="A55" s="234"/>
      <c r="B55" s="234"/>
      <c r="C55" s="235"/>
      <c r="D55" s="248"/>
      <c r="E55" s="249"/>
      <c r="F55" s="250"/>
      <c r="G55" s="250"/>
      <c r="H55" s="262"/>
      <c r="I55" s="251"/>
      <c r="J55" s="236"/>
    </row>
    <row r="56" spans="1:10" ht="12.75">
      <c r="A56" s="234"/>
      <c r="B56" s="234"/>
      <c r="C56" s="235"/>
      <c r="D56" s="248"/>
      <c r="E56" s="249"/>
      <c r="F56" s="252"/>
      <c r="G56" s="253"/>
      <c r="H56" s="262"/>
      <c r="I56" s="254"/>
      <c r="J56" s="237"/>
    </row>
    <row r="57" spans="1:10" ht="15.75">
      <c r="A57" s="238"/>
      <c r="B57" s="238"/>
      <c r="C57" s="239"/>
      <c r="D57" s="255"/>
      <c r="E57" s="249"/>
      <c r="F57" s="281"/>
      <c r="G57" s="240"/>
      <c r="H57" s="262"/>
      <c r="I57" s="241"/>
      <c r="J57" s="238"/>
    </row>
    <row r="58" spans="2:9" ht="15.75">
      <c r="B58" s="242"/>
      <c r="C58" s="243"/>
      <c r="D58" s="238"/>
      <c r="E58" s="238"/>
      <c r="F58" s="234"/>
      <c r="G58" s="239"/>
      <c r="H58" s="238"/>
      <c r="I58" s="244"/>
    </row>
    <row r="59" spans="2:9" ht="12.75">
      <c r="B59" s="234"/>
      <c r="C59" s="238"/>
      <c r="D59" s="238"/>
      <c r="E59" s="238"/>
      <c r="F59" s="234"/>
      <c r="G59" s="245"/>
      <c r="H59" s="238"/>
      <c r="I59" s="244"/>
    </row>
  </sheetData>
  <sheetProtection password="CF71" sheet="1" objects="1" scenarios="1"/>
  <mergeCells count="27">
    <mergeCell ref="B21:E21"/>
    <mergeCell ref="A35:L35"/>
    <mergeCell ref="F36:G36"/>
    <mergeCell ref="F41:G41"/>
    <mergeCell ref="J36:K36"/>
    <mergeCell ref="J37:K37"/>
    <mergeCell ref="J38:K38"/>
    <mergeCell ref="J39:K39"/>
    <mergeCell ref="J41:K41"/>
    <mergeCell ref="F37:G37"/>
    <mergeCell ref="F45:G45"/>
    <mergeCell ref="F38:G38"/>
    <mergeCell ref="F39:G39"/>
    <mergeCell ref="J45:K45"/>
    <mergeCell ref="J42:K42"/>
    <mergeCell ref="A43:L43"/>
    <mergeCell ref="F44:G44"/>
    <mergeCell ref="J44:K44"/>
    <mergeCell ref="F40:G40"/>
    <mergeCell ref="J40:K40"/>
    <mergeCell ref="J48:K48"/>
    <mergeCell ref="J49:K49"/>
    <mergeCell ref="J50:K50"/>
    <mergeCell ref="F46:G46"/>
    <mergeCell ref="F47:G47"/>
    <mergeCell ref="J47:K47"/>
    <mergeCell ref="J46:K46"/>
  </mergeCells>
  <dataValidations count="8">
    <dataValidation type="custom" showErrorMessage="1" promptTitle="Stone Above" prompt="The stone above the chambers must be greater than or equal to 6 inches (152 mm)." errorTitle="Invalid Stone Above" error="Please enter a value for stone above chambers that is greater than or equal to 12 inches (305 mm) and less than or equal to 84 inches (2134 mm)." sqref="E12">
      <formula1>IF(E9="Imperial",AND(E12&gt;=12,E12&lt;=84),AND(E12&gt;=305,E12&lt;=2134))</formula1>
    </dataValidation>
    <dataValidation type="custom" showErrorMessage="1" promptTitle="Stone Foundation Depth" prompt="The stone foundation depth must be greater than or equal to 9 inches (229 mm)." errorTitle="Invalid Stone Foundation Depth" error="The stone foundation depth must be greater than or equal to 9 inches (229 mm)." sqref="E13">
      <formula1>IF(E9="Imperial",E13&gt;=9,E13&gt;=229)</formula1>
    </dataValidation>
    <dataValidation type="custom" showErrorMessage="1" promptTitle="Average Cover" prompt="The average cover over the chambers must be greater than or equal to 24 inches (610 mm)." errorTitle="Invalid average cover" error="The average cover over the chambers must be greater than or equal to 24 inches (610 mm)." sqref="E14">
      <formula1>IF(E9="Imperial",AND(E14&gt;=24,E14&lt;=84),AND(E14&gt;=610,E14&lt;=5000))</formula1>
    </dataValidation>
    <dataValidation type="list" allowBlank="1" showInputMessage="1" showErrorMessage="1" sqref="E15">
      <formula1>WIDTHLENGTH</formula1>
    </dataValidation>
    <dataValidation type="custom" showErrorMessage="1" promptTitle="Stone Porosity" prompt="Stone Porosity must be between 0 and 100%." errorTitle="Invalid Stone Porosity" error="Stone porosity must be between 0 and 100%." sqref="E11">
      <formula1>AND(E11&gt;-0.999,E11&lt;100.1)</formula1>
    </dataValidation>
    <dataValidation showErrorMessage="1" errorTitle="Invalid Required Storage Volume" error="The required storage volume must be greater than 0." sqref="E10"/>
    <dataValidation type="custom" allowBlank="1" showInputMessage="1" showErrorMessage="1" errorTitle="Limiting dimension" error="A value is required to determine the System Sizing parameters." sqref="E16">
      <formula1>E16&gt;0</formula1>
    </dataValidation>
    <dataValidation type="list" showInputMessage="1" showErrorMessage="1" sqref="E9">
      <formula1>ImperialMetric</formula1>
    </dataValidation>
  </dataValidations>
  <printOptions horizontalCentered="1"/>
  <pageMargins left="0.25" right="0.25" top="0.25" bottom="0.25" header="0.25" footer="0.25"/>
  <pageSetup fitToHeight="1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67"/>
  <sheetViews>
    <sheetView zoomScale="80" zoomScaleNormal="80" zoomScalePageLayoutView="0" workbookViewId="0" topLeftCell="A55">
      <selection activeCell="H37" sqref="H37"/>
    </sheetView>
  </sheetViews>
  <sheetFormatPr defaultColWidth="9.140625" defaultRowHeight="12.75"/>
  <cols>
    <col min="2" max="2" width="24.28125" style="0" customWidth="1"/>
    <col min="3" max="3" width="10.140625" style="0" bestFit="1" customWidth="1"/>
    <col min="4" max="4" width="10.7109375" style="0" customWidth="1"/>
    <col min="10" max="10" width="14.57421875" style="0" customWidth="1"/>
    <col min="12" max="12" width="27.421875" style="0" customWidth="1"/>
    <col min="13" max="13" width="10.140625" style="0" bestFit="1" customWidth="1"/>
    <col min="14" max="14" width="10.7109375" style="0" customWidth="1"/>
  </cols>
  <sheetData>
    <row r="1" spans="1:25" ht="12.75">
      <c r="A1" s="68"/>
      <c r="B1" s="59"/>
      <c r="C1" s="59"/>
      <c r="D1" s="59"/>
      <c r="E1" s="59"/>
      <c r="F1" s="59"/>
      <c r="G1" s="59"/>
      <c r="H1" s="59"/>
      <c r="I1" s="59"/>
      <c r="J1" s="59"/>
      <c r="K1" s="115"/>
      <c r="L1" s="116"/>
      <c r="M1" s="116"/>
      <c r="N1" s="116"/>
      <c r="O1" s="116"/>
      <c r="P1" s="116"/>
      <c r="Q1" s="116"/>
      <c r="R1" s="116"/>
      <c r="S1" s="8"/>
      <c r="T1" s="3"/>
      <c r="U1" s="3"/>
      <c r="V1" s="3"/>
      <c r="W1" s="3"/>
      <c r="X1" s="3"/>
      <c r="Y1" s="3"/>
    </row>
    <row r="2" spans="1:25" ht="12.75">
      <c r="A2" s="117" t="s">
        <v>1</v>
      </c>
      <c r="B2" s="61"/>
      <c r="C2" s="61"/>
      <c r="D2" s="61" t="s">
        <v>6</v>
      </c>
      <c r="E2" s="60"/>
      <c r="F2" s="60"/>
      <c r="G2" s="60"/>
      <c r="H2" s="60"/>
      <c r="I2" s="60"/>
      <c r="J2" s="60"/>
      <c r="K2" s="116"/>
      <c r="L2" s="116"/>
      <c r="M2" s="116"/>
      <c r="N2" s="118"/>
      <c r="O2" s="118"/>
      <c r="P2" s="118"/>
      <c r="Q2" s="118"/>
      <c r="R2" s="116"/>
      <c r="S2" s="8"/>
      <c r="T2" s="3"/>
      <c r="U2" s="3"/>
      <c r="V2" s="3"/>
      <c r="W2" s="3"/>
      <c r="X2" s="3"/>
      <c r="Y2" s="3"/>
    </row>
    <row r="3" spans="1:25" ht="12.75">
      <c r="A3" s="117" t="s">
        <v>2</v>
      </c>
      <c r="B3" s="61"/>
      <c r="C3" s="61"/>
      <c r="D3" s="61" t="s">
        <v>7</v>
      </c>
      <c r="E3" s="60"/>
      <c r="F3" s="60"/>
      <c r="G3" s="60"/>
      <c r="H3" s="60"/>
      <c r="I3" s="60"/>
      <c r="J3" s="60"/>
      <c r="K3" s="116"/>
      <c r="L3" s="116"/>
      <c r="M3" s="116"/>
      <c r="N3" s="118"/>
      <c r="O3" s="118"/>
      <c r="P3" s="118"/>
      <c r="Q3" s="118"/>
      <c r="R3" s="116"/>
      <c r="S3" s="8"/>
      <c r="T3" s="3"/>
      <c r="U3" s="3"/>
      <c r="V3" s="3"/>
      <c r="W3" s="3"/>
      <c r="X3" s="3"/>
      <c r="Y3" s="3"/>
    </row>
    <row r="4" spans="1:25" ht="12.75">
      <c r="A4" s="71"/>
      <c r="B4" s="61"/>
      <c r="C4" s="61"/>
      <c r="D4" s="60"/>
      <c r="E4" s="60"/>
      <c r="F4" s="60"/>
      <c r="G4" s="60"/>
      <c r="H4" s="60"/>
      <c r="I4" s="60"/>
      <c r="J4" s="60"/>
      <c r="K4" s="116"/>
      <c r="L4" s="116"/>
      <c r="M4" s="116"/>
      <c r="N4" s="116"/>
      <c r="O4" s="118"/>
      <c r="P4" s="118"/>
      <c r="Q4" s="116"/>
      <c r="R4" s="116"/>
      <c r="S4" s="8"/>
      <c r="T4" s="3"/>
      <c r="U4" s="3"/>
      <c r="V4" s="3"/>
      <c r="W4" s="3"/>
      <c r="X4" s="3"/>
      <c r="Y4" s="3"/>
    </row>
    <row r="5" spans="1:25" ht="12.75">
      <c r="A5" s="71"/>
      <c r="B5" s="61"/>
      <c r="C5" s="61"/>
      <c r="D5" s="60"/>
      <c r="E5" s="60"/>
      <c r="F5" s="60"/>
      <c r="G5" s="60"/>
      <c r="H5" s="60"/>
      <c r="I5" s="60"/>
      <c r="J5" s="60"/>
      <c r="K5" s="116"/>
      <c r="L5" s="116"/>
      <c r="M5" s="116"/>
      <c r="N5" s="116"/>
      <c r="O5" s="118"/>
      <c r="P5" s="118"/>
      <c r="Q5" s="116"/>
      <c r="R5" s="116"/>
      <c r="S5" s="8"/>
      <c r="T5" s="3"/>
      <c r="U5" s="3"/>
      <c r="V5" s="3"/>
      <c r="W5" s="3"/>
      <c r="X5" s="3"/>
      <c r="Y5" s="3"/>
    </row>
    <row r="6" spans="1:25" ht="12.75">
      <c r="A6" s="71"/>
      <c r="B6" s="61"/>
      <c r="C6" s="60"/>
      <c r="D6" s="60"/>
      <c r="E6" s="60"/>
      <c r="F6" s="60"/>
      <c r="G6" s="60"/>
      <c r="H6" s="60"/>
      <c r="I6" s="60"/>
      <c r="J6" s="60"/>
      <c r="K6" s="116"/>
      <c r="L6" s="116"/>
      <c r="M6" s="116"/>
      <c r="N6" s="116"/>
      <c r="O6" s="118"/>
      <c r="P6" s="116"/>
      <c r="Q6" s="116"/>
      <c r="R6" s="116"/>
      <c r="S6" s="8"/>
      <c r="T6" s="3"/>
      <c r="U6" s="3"/>
      <c r="V6" s="3"/>
      <c r="W6" s="3"/>
      <c r="X6" s="3"/>
      <c r="Y6" s="3"/>
    </row>
    <row r="7" spans="1:25" ht="12.75">
      <c r="A7" s="71"/>
      <c r="B7" s="61"/>
      <c r="C7" s="60"/>
      <c r="D7" s="60"/>
      <c r="E7" s="60"/>
      <c r="F7" s="60"/>
      <c r="G7" s="60"/>
      <c r="H7" s="60"/>
      <c r="I7" s="60"/>
      <c r="J7" s="60"/>
      <c r="K7" s="116"/>
      <c r="L7" s="116"/>
      <c r="M7" s="116"/>
      <c r="N7" s="116"/>
      <c r="O7" s="118"/>
      <c r="P7" s="116"/>
      <c r="Q7" s="116"/>
      <c r="R7" s="116"/>
      <c r="S7" s="8"/>
      <c r="T7" s="3"/>
      <c r="U7" s="3"/>
      <c r="V7" s="3"/>
      <c r="W7" s="3"/>
      <c r="X7" s="3"/>
      <c r="Y7" s="3"/>
    </row>
    <row r="8" spans="1:25" ht="12.75">
      <c r="A8" s="71"/>
      <c r="B8" s="61"/>
      <c r="C8" s="60"/>
      <c r="D8" s="60"/>
      <c r="E8" s="60"/>
      <c r="F8" s="60"/>
      <c r="G8" s="60"/>
      <c r="H8" s="60"/>
      <c r="I8" s="60"/>
      <c r="J8" s="60"/>
      <c r="K8" s="116"/>
      <c r="L8" s="116"/>
      <c r="M8" s="116"/>
      <c r="N8" s="116"/>
      <c r="O8" s="118"/>
      <c r="P8" s="116"/>
      <c r="Q8" s="116"/>
      <c r="R8" s="116"/>
      <c r="S8" s="8"/>
      <c r="T8" s="3"/>
      <c r="U8" s="3"/>
      <c r="V8" s="3"/>
      <c r="W8" s="3"/>
      <c r="X8" s="3"/>
      <c r="Y8" s="3"/>
    </row>
    <row r="9" spans="1:25" ht="12.75">
      <c r="A9" s="71"/>
      <c r="B9" s="60"/>
      <c r="C9" s="60"/>
      <c r="D9" s="60"/>
      <c r="E9" s="60"/>
      <c r="F9" s="60"/>
      <c r="G9" s="60"/>
      <c r="H9" s="60"/>
      <c r="I9" s="60"/>
      <c r="J9" s="60"/>
      <c r="K9" s="116"/>
      <c r="L9" s="116"/>
      <c r="M9" s="116"/>
      <c r="N9" s="116"/>
      <c r="O9" s="116"/>
      <c r="P9" s="116"/>
      <c r="Q9" s="116"/>
      <c r="R9" s="116"/>
      <c r="S9" s="8"/>
      <c r="T9" s="3"/>
      <c r="U9" s="3"/>
      <c r="V9" s="3"/>
      <c r="W9" s="3"/>
      <c r="X9" s="3"/>
      <c r="Y9" s="3"/>
    </row>
    <row r="10" spans="1:25" ht="12.75">
      <c r="A10" s="119" t="s">
        <v>10</v>
      </c>
      <c r="B10" s="60"/>
      <c r="C10" s="60"/>
      <c r="D10" s="60"/>
      <c r="E10" s="60"/>
      <c r="F10" s="120"/>
      <c r="G10" s="120"/>
      <c r="H10" s="121"/>
      <c r="I10" s="121"/>
      <c r="J10" s="121"/>
      <c r="K10" s="119" t="s">
        <v>82</v>
      </c>
      <c r="L10" s="60"/>
      <c r="M10" s="60"/>
      <c r="N10" s="60"/>
      <c r="O10" s="60"/>
      <c r="P10" s="120"/>
      <c r="Q10" s="120"/>
      <c r="R10" s="121"/>
      <c r="S10" s="7"/>
      <c r="T10" s="7"/>
      <c r="U10" s="7"/>
      <c r="V10" s="7"/>
      <c r="W10" s="7"/>
      <c r="X10" s="7"/>
      <c r="Y10" s="29"/>
    </row>
    <row r="11" spans="1:25" ht="12.75">
      <c r="A11" s="122" t="s">
        <v>14</v>
      </c>
      <c r="B11" s="123"/>
      <c r="C11" s="124">
        <f>ROUNDUP(StorageV/VperChamber,0)</f>
        <v>22</v>
      </c>
      <c r="D11" s="123" t="s">
        <v>8</v>
      </c>
      <c r="E11" s="123"/>
      <c r="F11" s="125"/>
      <c r="G11" s="121"/>
      <c r="H11" s="121"/>
      <c r="I11" s="61"/>
      <c r="J11" s="121"/>
      <c r="K11" s="122" t="s">
        <v>14</v>
      </c>
      <c r="L11" s="123"/>
      <c r="M11" s="124">
        <f>ROUNDUP(StorageV/VperChamber,0)</f>
        <v>22</v>
      </c>
      <c r="N11" s="123" t="s">
        <v>8</v>
      </c>
      <c r="O11" s="123"/>
      <c r="P11" s="125"/>
      <c r="Q11" s="121"/>
      <c r="R11" s="121"/>
      <c r="S11" s="2"/>
      <c r="T11" s="7"/>
      <c r="U11" s="7"/>
      <c r="V11" s="2"/>
      <c r="W11" s="7"/>
      <c r="X11" s="7"/>
      <c r="Y11" s="7"/>
    </row>
    <row r="12" spans="1:25" ht="12.75">
      <c r="A12" s="71" t="s">
        <v>15</v>
      </c>
      <c r="B12" s="60"/>
      <c r="C12" s="60"/>
      <c r="D12" s="60"/>
      <c r="E12" s="60"/>
      <c r="F12" s="121"/>
      <c r="G12" s="121"/>
      <c r="H12" s="121"/>
      <c r="I12" s="121"/>
      <c r="J12" s="121"/>
      <c r="K12" s="71" t="s">
        <v>15</v>
      </c>
      <c r="L12" s="60"/>
      <c r="M12" s="60"/>
      <c r="N12" s="60"/>
      <c r="O12" s="60"/>
      <c r="P12" s="121"/>
      <c r="Q12" s="121"/>
      <c r="R12" s="121"/>
      <c r="S12" s="7"/>
      <c r="T12" s="7"/>
      <c r="U12" s="7"/>
      <c r="V12" s="7"/>
      <c r="W12" s="7"/>
      <c r="X12" s="7"/>
      <c r="Y12" s="7"/>
    </row>
    <row r="13" spans="1:25" ht="12.75">
      <c r="A13" s="126"/>
      <c r="B13" s="127" t="s">
        <v>17</v>
      </c>
      <c r="C13" s="128"/>
      <c r="D13" s="128"/>
      <c r="E13" s="128"/>
      <c r="F13" s="121"/>
      <c r="G13" s="129"/>
      <c r="H13" s="127"/>
      <c r="I13" s="129"/>
      <c r="J13" s="129"/>
      <c r="K13" s="126"/>
      <c r="L13" s="127" t="s">
        <v>17</v>
      </c>
      <c r="M13" s="128"/>
      <c r="N13" s="128"/>
      <c r="O13" s="128"/>
      <c r="P13" s="121"/>
      <c r="Q13" s="129"/>
      <c r="R13" s="127"/>
      <c r="S13" s="31"/>
      <c r="T13" s="31"/>
      <c r="U13" s="14"/>
      <c r="V13" s="31"/>
      <c r="W13" s="31"/>
      <c r="X13" s="31"/>
      <c r="Y13" s="7"/>
    </row>
    <row r="14" spans="1:25" ht="12.75">
      <c r="A14" s="307" t="s">
        <v>16</v>
      </c>
      <c r="B14" s="308"/>
      <c r="C14" s="132" t="str">
        <f>IF(ControlD="LENGTH",ROUNDDOWN((LimitD-4.5583)/4.025,0),"N/A")</f>
        <v>N/A</v>
      </c>
      <c r="D14" s="128" t="s">
        <v>18</v>
      </c>
      <c r="E14" s="128"/>
      <c r="F14" s="86"/>
      <c r="G14" s="131"/>
      <c r="H14" s="131"/>
      <c r="I14" s="132"/>
      <c r="J14" s="129"/>
      <c r="K14" s="307" t="s">
        <v>16</v>
      </c>
      <c r="L14" s="308"/>
      <c r="M14" s="132" t="str">
        <f>IF(ControlD="LENGTH",ROUNDDOWN((LimitD-1.389)/1.227,0),"N/A")</f>
        <v>N/A</v>
      </c>
      <c r="N14" s="128" t="s">
        <v>18</v>
      </c>
      <c r="O14" s="128"/>
      <c r="P14" s="86"/>
      <c r="Q14" s="131"/>
      <c r="R14" s="131"/>
      <c r="S14" s="16"/>
      <c r="T14" s="31"/>
      <c r="U14" s="15"/>
      <c r="V14" s="16"/>
      <c r="W14" s="31"/>
      <c r="X14" s="31"/>
      <c r="Y14" s="4"/>
    </row>
    <row r="15" spans="1:25" ht="12.75">
      <c r="A15" s="130"/>
      <c r="B15" s="133" t="s">
        <v>16</v>
      </c>
      <c r="C15" s="134" t="str">
        <f>IF(LimitD-4.5583&gt;C11*4.025,C11,C14)</f>
        <v>N/A</v>
      </c>
      <c r="D15" s="135" t="s">
        <v>93</v>
      </c>
      <c r="E15" s="135"/>
      <c r="F15" s="136"/>
      <c r="G15" s="133"/>
      <c r="H15" s="133"/>
      <c r="I15" s="132"/>
      <c r="J15" s="129"/>
      <c r="K15" s="130"/>
      <c r="L15" s="133" t="s">
        <v>16</v>
      </c>
      <c r="M15" s="134" t="str">
        <f>IF(LimitD-1.389&gt;M11*1.227,M11,M14)</f>
        <v>N/A</v>
      </c>
      <c r="N15" s="135" t="s">
        <v>93</v>
      </c>
      <c r="O15" s="135"/>
      <c r="P15" s="136"/>
      <c r="Q15" s="133"/>
      <c r="R15" s="133"/>
      <c r="S15" s="16"/>
      <c r="T15" s="31"/>
      <c r="U15" s="15"/>
      <c r="V15" s="16"/>
      <c r="W15" s="31"/>
      <c r="X15" s="31"/>
      <c r="Y15" s="4"/>
    </row>
    <row r="16" spans="1:25" ht="12.75">
      <c r="A16" s="307" t="s">
        <v>19</v>
      </c>
      <c r="B16" s="308"/>
      <c r="C16" s="132" t="str">
        <f>IF(ControlD="LENGTH",ROUNDUP(C11/C14,0),"N/A")</f>
        <v>N/A</v>
      </c>
      <c r="D16" s="128" t="s">
        <v>9</v>
      </c>
      <c r="E16" s="128"/>
      <c r="F16" s="86"/>
      <c r="G16" s="131"/>
      <c r="H16" s="131"/>
      <c r="I16" s="132"/>
      <c r="J16" s="129"/>
      <c r="K16" s="307" t="s">
        <v>19</v>
      </c>
      <c r="L16" s="308"/>
      <c r="M16" s="132" t="str">
        <f>IF(ControlD="LENGTH",ROUNDUP(M11/M14,0),"N/A")</f>
        <v>N/A</v>
      </c>
      <c r="N16" s="128" t="s">
        <v>9</v>
      </c>
      <c r="O16" s="128"/>
      <c r="P16" s="86"/>
      <c r="Q16" s="131"/>
      <c r="R16" s="131"/>
      <c r="S16" s="16"/>
      <c r="T16" s="31"/>
      <c r="U16" s="15"/>
      <c r="V16" s="16"/>
      <c r="W16" s="31"/>
      <c r="X16" s="31"/>
      <c r="Y16" s="4"/>
    </row>
    <row r="17" spans="1:25" ht="12.75">
      <c r="A17" s="71"/>
      <c r="B17" s="60"/>
      <c r="C17" s="60"/>
      <c r="D17" s="60"/>
      <c r="E17" s="60"/>
      <c r="F17" s="121"/>
      <c r="G17" s="121"/>
      <c r="H17" s="121"/>
      <c r="I17" s="121"/>
      <c r="J17" s="121"/>
      <c r="K17" s="71"/>
      <c r="L17" s="60"/>
      <c r="M17" s="60"/>
      <c r="N17" s="60"/>
      <c r="O17" s="60"/>
      <c r="P17" s="121"/>
      <c r="Q17" s="121"/>
      <c r="R17" s="121"/>
      <c r="S17" s="7"/>
      <c r="T17" s="7"/>
      <c r="U17" s="7"/>
      <c r="V17" s="7"/>
      <c r="W17" s="7"/>
      <c r="X17" s="7"/>
      <c r="Y17" s="7"/>
    </row>
    <row r="18" spans="1:25" ht="12.75">
      <c r="A18" s="137"/>
      <c r="B18" s="138" t="s">
        <v>20</v>
      </c>
      <c r="C18" s="139"/>
      <c r="D18" s="139"/>
      <c r="E18" s="139"/>
      <c r="F18" s="121"/>
      <c r="G18" s="60"/>
      <c r="H18" s="138"/>
      <c r="I18" s="140"/>
      <c r="J18" s="140"/>
      <c r="K18" s="137"/>
      <c r="L18" s="138" t="s">
        <v>20</v>
      </c>
      <c r="M18" s="139"/>
      <c r="N18" s="139"/>
      <c r="O18" s="139"/>
      <c r="P18" s="121"/>
      <c r="Q18" s="60"/>
      <c r="R18" s="138"/>
      <c r="S18" s="32"/>
      <c r="T18" s="32"/>
      <c r="U18" s="17"/>
      <c r="V18" s="32"/>
      <c r="W18" s="32"/>
      <c r="X18" s="32"/>
      <c r="Y18" s="7"/>
    </row>
    <row r="19" spans="1:25" ht="12.75">
      <c r="A19" s="137" t="s">
        <v>21</v>
      </c>
      <c r="B19" s="139"/>
      <c r="C19" s="141">
        <f>IF(ControlD="WIDTH",ROUNDDOWN((LimitD-1.25)/9.083,0),"N/A")</f>
        <v>0</v>
      </c>
      <c r="D19" s="139" t="s">
        <v>9</v>
      </c>
      <c r="E19" s="139"/>
      <c r="F19" s="121"/>
      <c r="G19" s="140"/>
      <c r="H19" s="140"/>
      <c r="I19" s="141"/>
      <c r="J19" s="140"/>
      <c r="K19" s="137" t="s">
        <v>21</v>
      </c>
      <c r="L19" s="139"/>
      <c r="M19" s="141">
        <f>IF(ControlD="WIDTH",ROUNDDOWN((LimitD-0.381)/2.769,0),"N/A")</f>
        <v>2</v>
      </c>
      <c r="N19" s="139" t="s">
        <v>9</v>
      </c>
      <c r="O19" s="139"/>
      <c r="P19" s="121"/>
      <c r="Q19" s="140"/>
      <c r="R19" s="140"/>
      <c r="S19" s="18"/>
      <c r="T19" s="32"/>
      <c r="U19" s="32"/>
      <c r="V19" s="18"/>
      <c r="W19" s="32"/>
      <c r="X19" s="32"/>
      <c r="Y19" s="7"/>
    </row>
    <row r="20" spans="1:25" ht="12.75">
      <c r="A20" s="137" t="s">
        <v>16</v>
      </c>
      <c r="B20" s="139"/>
      <c r="C20" s="141" t="e">
        <f>IF(ControlD="WIDTH",ROUNDUP(C11/C19,0),"N/A")</f>
        <v>#DIV/0!</v>
      </c>
      <c r="D20" s="139" t="s">
        <v>18</v>
      </c>
      <c r="E20" s="139"/>
      <c r="F20" s="121"/>
      <c r="G20" s="140"/>
      <c r="H20" s="140"/>
      <c r="I20" s="141"/>
      <c r="J20" s="140"/>
      <c r="K20" s="137" t="s">
        <v>16</v>
      </c>
      <c r="L20" s="139"/>
      <c r="M20" s="141">
        <f>IF(ControlD="WIDTH",ROUNDUP(M11/M19,0),"N/A")</f>
        <v>11</v>
      </c>
      <c r="N20" s="139" t="s">
        <v>18</v>
      </c>
      <c r="O20" s="139"/>
      <c r="P20" s="121"/>
      <c r="Q20" s="140"/>
      <c r="R20" s="140"/>
      <c r="S20" s="18"/>
      <c r="T20" s="32"/>
      <c r="U20" s="32"/>
      <c r="V20" s="18"/>
      <c r="W20" s="32"/>
      <c r="X20" s="32"/>
      <c r="Y20" s="7"/>
    </row>
    <row r="21" spans="1:25" ht="13.5" thickBot="1">
      <c r="A21" s="71"/>
      <c r="B21" s="60"/>
      <c r="C21" s="60"/>
      <c r="D21" s="60"/>
      <c r="E21" s="60"/>
      <c r="F21" s="121"/>
      <c r="G21" s="60"/>
      <c r="H21" s="121"/>
      <c r="I21" s="121"/>
      <c r="J21" s="121"/>
      <c r="K21" s="71"/>
      <c r="L21" s="60"/>
      <c r="M21" s="60"/>
      <c r="N21" s="60"/>
      <c r="O21" s="60"/>
      <c r="P21" s="121"/>
      <c r="Q21" s="60"/>
      <c r="R21" s="121"/>
      <c r="S21" s="7"/>
      <c r="T21" s="7"/>
      <c r="U21" s="7"/>
      <c r="V21" s="7"/>
      <c r="W21" s="7"/>
      <c r="X21" s="7"/>
      <c r="Y21" s="7"/>
    </row>
    <row r="22" spans="1:25" ht="12.75">
      <c r="A22" s="68" t="s">
        <v>22</v>
      </c>
      <c r="B22" s="59"/>
      <c r="C22" s="222">
        <f>IF(ControlD="WIDTH",IF(C11&lt;=C19,2*C11,2*C19),IF(C11&lt;=C16,C11*2,C16*2))</f>
        <v>0</v>
      </c>
      <c r="D22" s="59" t="s">
        <v>11</v>
      </c>
      <c r="E22" s="69"/>
      <c r="F22" s="121"/>
      <c r="G22" s="121"/>
      <c r="H22" s="121"/>
      <c r="I22" s="61"/>
      <c r="J22" s="121"/>
      <c r="K22" s="71" t="s">
        <v>22</v>
      </c>
      <c r="L22" s="60"/>
      <c r="M22" s="61">
        <f>IF(ControlD="WIDTH",IF(M11&lt;=M19,2*M11,2*M19),IF(M11&lt;=M16,M11*2,M16*2))</f>
        <v>4</v>
      </c>
      <c r="N22" s="60" t="s">
        <v>11</v>
      </c>
      <c r="O22" s="60"/>
      <c r="P22" s="121"/>
      <c r="Q22" s="121"/>
      <c r="R22" s="121"/>
      <c r="S22" s="2"/>
      <c r="T22" s="7"/>
      <c r="U22" s="7"/>
      <c r="V22" s="2"/>
      <c r="W22" s="7"/>
      <c r="X22" s="7"/>
      <c r="Y22" s="7"/>
    </row>
    <row r="23" spans="1:25" ht="12.75">
      <c r="A23" s="71" t="s">
        <v>23</v>
      </c>
      <c r="B23" s="60"/>
      <c r="C23" s="112">
        <f>C22*EndCapV</f>
        <v>0</v>
      </c>
      <c r="D23" s="60" t="s">
        <v>12</v>
      </c>
      <c r="E23" s="62"/>
      <c r="F23" s="121"/>
      <c r="G23" s="121"/>
      <c r="H23" s="121"/>
      <c r="I23" s="112"/>
      <c r="J23" s="121"/>
      <c r="K23" s="71" t="s">
        <v>23</v>
      </c>
      <c r="L23" s="60"/>
      <c r="M23" s="112">
        <f>M22*EndCapV</f>
        <v>12</v>
      </c>
      <c r="N23" s="60" t="s">
        <v>84</v>
      </c>
      <c r="O23" s="60"/>
      <c r="P23" s="121"/>
      <c r="Q23" s="121"/>
      <c r="R23" s="121"/>
      <c r="S23" s="5"/>
      <c r="T23" s="7"/>
      <c r="U23" s="7"/>
      <c r="V23" s="5"/>
      <c r="W23" s="7"/>
      <c r="X23" s="7"/>
      <c r="Y23" s="7"/>
    </row>
    <row r="24" spans="1:25" ht="12.75">
      <c r="A24" s="71"/>
      <c r="B24" s="60"/>
      <c r="C24" s="60"/>
      <c r="D24" s="60"/>
      <c r="E24" s="62"/>
      <c r="F24" s="121"/>
      <c r="G24" s="121"/>
      <c r="H24" s="121"/>
      <c r="I24" s="121"/>
      <c r="J24" s="121"/>
      <c r="K24" s="71"/>
      <c r="L24" s="60"/>
      <c r="M24" s="60"/>
      <c r="N24" s="60"/>
      <c r="O24" s="60"/>
      <c r="P24" s="121"/>
      <c r="Q24" s="121"/>
      <c r="R24" s="121"/>
      <c r="S24" s="7"/>
      <c r="T24" s="7"/>
      <c r="U24" s="7"/>
      <c r="V24" s="7"/>
      <c r="W24" s="7"/>
      <c r="X24" s="7"/>
      <c r="Y24" s="7"/>
    </row>
    <row r="25" spans="1:25" ht="13.5" thickBot="1">
      <c r="A25" s="79" t="s">
        <v>13</v>
      </c>
      <c r="B25" s="67"/>
      <c r="C25" s="223">
        <f>ROUNDUP(C11-(C23/VperChamber),0)</f>
        <v>22</v>
      </c>
      <c r="D25" s="67" t="s">
        <v>8</v>
      </c>
      <c r="E25" s="80"/>
      <c r="F25" s="121"/>
      <c r="G25" s="121"/>
      <c r="H25" s="121"/>
      <c r="I25" s="61"/>
      <c r="J25" s="121"/>
      <c r="K25" s="71" t="s">
        <v>13</v>
      </c>
      <c r="L25" s="60"/>
      <c r="M25" s="61">
        <f>ROUNDUP(M11-(M23/VperChamber),0)</f>
        <v>20</v>
      </c>
      <c r="N25" s="60" t="s">
        <v>8</v>
      </c>
      <c r="O25" s="60"/>
      <c r="P25" s="121"/>
      <c r="Q25" s="121"/>
      <c r="R25" s="121"/>
      <c r="S25" s="2"/>
      <c r="T25" s="7"/>
      <c r="U25" s="7"/>
      <c r="V25" s="2"/>
      <c r="W25" s="7"/>
      <c r="X25" s="7"/>
      <c r="Y25" s="7"/>
    </row>
    <row r="26" spans="1:25" ht="12.75">
      <c r="A26" s="71"/>
      <c r="B26" s="60"/>
      <c r="C26" s="61"/>
      <c r="D26" s="60"/>
      <c r="E26" s="60"/>
      <c r="F26" s="121"/>
      <c r="G26" s="121"/>
      <c r="H26" s="121"/>
      <c r="I26" s="61"/>
      <c r="J26" s="121"/>
      <c r="K26" s="71"/>
      <c r="L26" s="60"/>
      <c r="M26" s="61"/>
      <c r="N26" s="60"/>
      <c r="O26" s="60"/>
      <c r="P26" s="121"/>
      <c r="Q26" s="121"/>
      <c r="R26" s="121"/>
      <c r="S26" s="2"/>
      <c r="T26" s="7"/>
      <c r="U26" s="7"/>
      <c r="V26" s="2"/>
      <c r="W26" s="7"/>
      <c r="X26" s="7"/>
      <c r="Y26" s="7"/>
    </row>
    <row r="27" spans="1:25" ht="12.75">
      <c r="A27" s="137" t="s">
        <v>107</v>
      </c>
      <c r="B27" s="139"/>
      <c r="C27" s="141">
        <f>IF(C25&lt;C19,C25*VperChamber+EndCapV*2*'Imperial-Metric'!C25,'Imperial-Metric'!C25)</f>
        <v>22</v>
      </c>
      <c r="D27" s="142" t="s">
        <v>12</v>
      </c>
      <c r="E27" s="60"/>
      <c r="F27" s="121"/>
      <c r="G27" s="121"/>
      <c r="H27" s="121"/>
      <c r="I27" s="61"/>
      <c r="J27" s="121"/>
      <c r="K27" s="137" t="s">
        <v>107</v>
      </c>
      <c r="L27" s="139"/>
      <c r="M27" s="141">
        <f>IF(M25&lt;M19,M25*VperChamber+EndCapV*2*'Imperial-Metric'!M25,'Imperial-Metric'!M25)</f>
        <v>20</v>
      </c>
      <c r="N27" s="142" t="s">
        <v>84</v>
      </c>
      <c r="O27" s="60"/>
      <c r="P27" s="121"/>
      <c r="Q27" s="121"/>
      <c r="R27" s="121"/>
      <c r="S27" s="2"/>
      <c r="T27" s="7"/>
      <c r="U27" s="7"/>
      <c r="V27" s="2"/>
      <c r="W27" s="7"/>
      <c r="X27" s="7"/>
      <c r="Y27" s="7"/>
    </row>
    <row r="28" spans="1:25" ht="12.75">
      <c r="A28" s="143" t="s">
        <v>108</v>
      </c>
      <c r="B28" s="144"/>
      <c r="C28" s="145">
        <f>IF(C19*VperChamber+EndCapV*2*'Imperial-Metric'!C19&lt;StorageV,C19,(ROUNDUP(StorageV/(VperChamber+2*EndCapV),0)))</f>
        <v>0</v>
      </c>
      <c r="D28" s="142"/>
      <c r="E28" s="60"/>
      <c r="F28" s="121"/>
      <c r="G28" s="121"/>
      <c r="H28" s="121"/>
      <c r="I28" s="61"/>
      <c r="J28" s="121"/>
      <c r="K28" s="143" t="s">
        <v>108</v>
      </c>
      <c r="L28" s="144"/>
      <c r="M28" s="145">
        <f>IF(M19*VperChamber+EndCapV*2*'Imperial-Metric'!M19&lt;StorageV,M19,(ROUNDUP(StorageV/(VperChamber+2*EndCapV),0)))</f>
        <v>2</v>
      </c>
      <c r="N28" s="142"/>
      <c r="O28" s="60"/>
      <c r="P28" s="121"/>
      <c r="Q28" s="121"/>
      <c r="R28" s="121"/>
      <c r="S28" s="2"/>
      <c r="T28" s="7"/>
      <c r="U28" s="7"/>
      <c r="V28" s="2"/>
      <c r="W28" s="7"/>
      <c r="X28" s="7"/>
      <c r="Y28" s="7"/>
    </row>
    <row r="29" spans="1:25" ht="12.75">
      <c r="A29" s="137"/>
      <c r="B29" s="139"/>
      <c r="C29" s="141"/>
      <c r="D29" s="60"/>
      <c r="E29" s="60"/>
      <c r="F29" s="121"/>
      <c r="G29" s="121"/>
      <c r="H29" s="121"/>
      <c r="I29" s="61"/>
      <c r="J29" s="121"/>
      <c r="K29" s="137"/>
      <c r="L29" s="139"/>
      <c r="M29" s="141"/>
      <c r="N29" s="60"/>
      <c r="O29" s="60"/>
      <c r="P29" s="121"/>
      <c r="Q29" s="121"/>
      <c r="R29" s="121"/>
      <c r="S29" s="2"/>
      <c r="T29" s="7"/>
      <c r="U29" s="7"/>
      <c r="V29" s="2"/>
      <c r="W29" s="7"/>
      <c r="X29" s="7"/>
      <c r="Y29" s="7"/>
    </row>
    <row r="30" spans="1:25" ht="12.75">
      <c r="A30" s="146"/>
      <c r="B30" s="139"/>
      <c r="C30" s="141"/>
      <c r="D30" s="60"/>
      <c r="E30" s="60"/>
      <c r="F30" s="121"/>
      <c r="G30" s="121"/>
      <c r="H30" s="121"/>
      <c r="I30" s="61"/>
      <c r="J30" s="121"/>
      <c r="K30" s="146"/>
      <c r="L30" s="139"/>
      <c r="M30" s="141"/>
      <c r="N30" s="60"/>
      <c r="O30" s="60"/>
      <c r="P30" s="121"/>
      <c r="Q30" s="121"/>
      <c r="R30" s="121"/>
      <c r="S30" s="2"/>
      <c r="T30" s="7"/>
      <c r="U30" s="7"/>
      <c r="V30" s="2"/>
      <c r="W30" s="7"/>
      <c r="X30" s="7"/>
      <c r="Y30" s="7"/>
    </row>
    <row r="31" spans="1:25" ht="12.75">
      <c r="A31" s="146"/>
      <c r="B31" s="139"/>
      <c r="C31" s="141"/>
      <c r="D31" s="60"/>
      <c r="E31" s="60"/>
      <c r="F31" s="121"/>
      <c r="G31" s="121"/>
      <c r="H31" s="121"/>
      <c r="I31" s="61"/>
      <c r="J31" s="121"/>
      <c r="K31" s="146"/>
      <c r="L31" s="139"/>
      <c r="M31" s="141"/>
      <c r="N31" s="60"/>
      <c r="O31" s="60"/>
      <c r="P31" s="121"/>
      <c r="Q31" s="121"/>
      <c r="R31" s="121"/>
      <c r="S31" s="2"/>
      <c r="T31" s="7"/>
      <c r="U31" s="7"/>
      <c r="V31" s="2"/>
      <c r="W31" s="7"/>
      <c r="X31" s="7"/>
      <c r="Y31" s="7"/>
    </row>
    <row r="32" spans="1:25" ht="12.75">
      <c r="A32" s="137"/>
      <c r="B32" s="60"/>
      <c r="C32" s="141"/>
      <c r="D32" s="60"/>
      <c r="E32" s="60"/>
      <c r="F32" s="121"/>
      <c r="G32" s="121"/>
      <c r="H32" s="121"/>
      <c r="I32" s="61"/>
      <c r="J32" s="121"/>
      <c r="K32" s="137"/>
      <c r="L32" s="60"/>
      <c r="M32" s="141"/>
      <c r="N32" s="60"/>
      <c r="O32" s="60"/>
      <c r="P32" s="121"/>
      <c r="Q32" s="121"/>
      <c r="R32" s="121"/>
      <c r="S32" s="2"/>
      <c r="T32" s="7"/>
      <c r="U32" s="7"/>
      <c r="V32" s="2"/>
      <c r="W32" s="7"/>
      <c r="X32" s="7"/>
      <c r="Y32" s="7"/>
    </row>
    <row r="33" spans="1:25" ht="12.75">
      <c r="A33" s="71"/>
      <c r="B33" s="60"/>
      <c r="C33" s="61"/>
      <c r="D33" s="60"/>
      <c r="E33" s="60"/>
      <c r="F33" s="121"/>
      <c r="G33" s="121"/>
      <c r="H33" s="121"/>
      <c r="I33" s="61"/>
      <c r="J33" s="121"/>
      <c r="K33" s="71"/>
      <c r="L33" s="60"/>
      <c r="M33" s="61"/>
      <c r="N33" s="60"/>
      <c r="O33" s="60"/>
      <c r="P33" s="121"/>
      <c r="Q33" s="121"/>
      <c r="R33" s="121"/>
      <c r="S33" s="2"/>
      <c r="T33" s="7"/>
      <c r="U33" s="7"/>
      <c r="V33" s="2"/>
      <c r="W33" s="7"/>
      <c r="X33" s="7"/>
      <c r="Y33" s="7"/>
    </row>
    <row r="34" spans="1:25" ht="12.75">
      <c r="A34" s="70" t="s">
        <v>26</v>
      </c>
      <c r="B34" s="60"/>
      <c r="C34" s="61"/>
      <c r="D34" s="60"/>
      <c r="E34" s="60"/>
      <c r="F34" s="121"/>
      <c r="G34" s="116"/>
      <c r="H34" s="121"/>
      <c r="I34" s="61"/>
      <c r="J34" s="147"/>
      <c r="K34" s="70" t="s">
        <v>26</v>
      </c>
      <c r="L34" s="60"/>
      <c r="M34" s="61"/>
      <c r="N34" s="60"/>
      <c r="O34" s="60"/>
      <c r="P34" s="121"/>
      <c r="Q34" s="116"/>
      <c r="R34" s="121"/>
      <c r="S34" s="2"/>
      <c r="T34" s="107"/>
      <c r="U34" s="7"/>
      <c r="V34" s="2"/>
      <c r="W34" s="7"/>
      <c r="X34" s="7"/>
      <c r="Y34" s="7"/>
    </row>
    <row r="35" spans="1:25" ht="12.75">
      <c r="A35" s="148"/>
      <c r="B35" s="149" t="s">
        <v>17</v>
      </c>
      <c r="C35" s="150"/>
      <c r="D35" s="151"/>
      <c r="E35" s="151"/>
      <c r="F35" s="125"/>
      <c r="G35" s="152"/>
      <c r="H35" s="149"/>
      <c r="I35" s="150"/>
      <c r="J35" s="129"/>
      <c r="K35" s="148"/>
      <c r="L35" s="149" t="s">
        <v>17</v>
      </c>
      <c r="M35" s="150"/>
      <c r="N35" s="151"/>
      <c r="O35" s="151"/>
      <c r="P35" s="125"/>
      <c r="Q35" s="152"/>
      <c r="R35" s="149"/>
      <c r="S35" s="52"/>
      <c r="T35" s="31"/>
      <c r="U35" s="14"/>
      <c r="V35" s="16"/>
      <c r="W35" s="31"/>
      <c r="X35" s="31"/>
      <c r="Y35" s="7"/>
    </row>
    <row r="36" spans="1:25" ht="12.75">
      <c r="A36" s="126"/>
      <c r="B36" s="86" t="s">
        <v>16</v>
      </c>
      <c r="C36" s="132" t="str">
        <f>IF(ControlD="WIDTH","N/A",C15)</f>
        <v>N/A</v>
      </c>
      <c r="D36" s="128" t="s">
        <v>18</v>
      </c>
      <c r="E36" s="128"/>
      <c r="F36" s="121"/>
      <c r="G36" s="129"/>
      <c r="H36" s="127"/>
      <c r="I36" s="132"/>
      <c r="J36" s="129"/>
      <c r="K36" s="126"/>
      <c r="L36" s="86" t="s">
        <v>16</v>
      </c>
      <c r="M36" s="132" t="str">
        <f>IF(ControlD="WIDTH","N/A",M15)</f>
        <v>N/A</v>
      </c>
      <c r="N36" s="128" t="s">
        <v>18</v>
      </c>
      <c r="O36" s="128"/>
      <c r="P36" s="121"/>
      <c r="Q36" s="129"/>
      <c r="R36" s="127"/>
      <c r="S36" s="16"/>
      <c r="T36" s="31"/>
      <c r="U36" s="14"/>
      <c r="V36" s="16"/>
      <c r="W36" s="31"/>
      <c r="X36" s="31"/>
      <c r="Y36" s="7"/>
    </row>
    <row r="37" spans="1:25" ht="12.75">
      <c r="A37" s="71"/>
      <c r="B37" s="86" t="s">
        <v>19</v>
      </c>
      <c r="C37" s="132" t="str">
        <f>IF(ControlD="WIDTH","N/A",ROUNDUP(C25/C36,0))</f>
        <v>N/A</v>
      </c>
      <c r="D37" s="128" t="s">
        <v>9</v>
      </c>
      <c r="E37" s="128"/>
      <c r="F37" s="153" t="s">
        <v>79</v>
      </c>
      <c r="G37" s="154"/>
      <c r="H37" s="154" t="e">
        <f>C37*C36*VperChamber+C37*2*EndCapV</f>
        <v>#VALUE!</v>
      </c>
      <c r="I37" s="132"/>
      <c r="J37" s="129"/>
      <c r="K37" s="71"/>
      <c r="L37" s="60" t="s">
        <v>19</v>
      </c>
      <c r="M37" s="132" t="str">
        <f>IF(ControlD="WIDTH","N/A",ROUNDUP(M25/M36,0))</f>
        <v>N/A</v>
      </c>
      <c r="N37" s="128" t="s">
        <v>9</v>
      </c>
      <c r="O37" s="128"/>
      <c r="P37" s="153" t="s">
        <v>79</v>
      </c>
      <c r="Q37" s="154"/>
      <c r="R37" s="154" t="e">
        <f>M37*M36*VperChamber+M37*2*EndCapV</f>
        <v>#VALUE!</v>
      </c>
      <c r="S37" s="16"/>
      <c r="T37" s="31"/>
      <c r="U37" s="15"/>
      <c r="V37" s="16"/>
      <c r="W37" s="31"/>
      <c r="X37" s="31"/>
      <c r="Y37" s="7"/>
    </row>
    <row r="38" spans="1:25" ht="12.75">
      <c r="A38" s="71"/>
      <c r="B38" s="225" t="s">
        <v>113</v>
      </c>
      <c r="C38" s="226" t="e">
        <f>C36*VperChamber+2*EndCapV</f>
        <v>#VALUE!</v>
      </c>
      <c r="D38" t="s">
        <v>12</v>
      </c>
      <c r="F38" s="155" t="s">
        <v>46</v>
      </c>
      <c r="G38" s="154" t="e">
        <f>H37-StorageV</f>
        <v>#VALUE!</v>
      </c>
      <c r="H38" s="154"/>
      <c r="I38" s="132"/>
      <c r="J38" s="129"/>
      <c r="K38" s="71"/>
      <c r="L38" s="225" t="s">
        <v>113</v>
      </c>
      <c r="M38" s="226" t="e">
        <f>M36*VperChamber+2*EndCapV</f>
        <v>#VALUE!</v>
      </c>
      <c r="N38" t="s">
        <v>84</v>
      </c>
      <c r="O38" s="128"/>
      <c r="P38" s="155" t="s">
        <v>46</v>
      </c>
      <c r="Q38" s="154" t="e">
        <f>R37-StorageV</f>
        <v>#VALUE!</v>
      </c>
      <c r="R38" s="154"/>
      <c r="S38" s="16"/>
      <c r="T38" s="31"/>
      <c r="U38" s="15"/>
      <c r="V38" s="16"/>
      <c r="W38" s="31"/>
      <c r="X38" s="31"/>
      <c r="Y38" s="7"/>
    </row>
    <row r="39" spans="1:25" ht="12.75">
      <c r="A39" s="71"/>
      <c r="B39" s="86"/>
      <c r="C39" s="132"/>
      <c r="D39" s="128"/>
      <c r="E39" s="128"/>
      <c r="F39" s="155"/>
      <c r="G39" s="154"/>
      <c r="H39" s="154"/>
      <c r="I39" s="132"/>
      <c r="J39" s="129"/>
      <c r="K39" s="71"/>
      <c r="L39" s="86"/>
      <c r="M39" s="132"/>
      <c r="N39" s="128"/>
      <c r="O39" s="128"/>
      <c r="P39" s="155"/>
      <c r="Q39" s="154"/>
      <c r="R39" s="154"/>
      <c r="S39" s="16"/>
      <c r="T39" s="31"/>
      <c r="U39" s="15"/>
      <c r="V39" s="16"/>
      <c r="W39" s="31"/>
      <c r="X39" s="31"/>
      <c r="Y39" s="7"/>
    </row>
    <row r="40" spans="1:25" ht="12.75">
      <c r="A40" s="156" t="s">
        <v>29</v>
      </c>
      <c r="B40" s="131"/>
      <c r="C40" s="157" t="e">
        <f>IF(C25=1,0,IF(ABS(G38)&lt;VperChamber,ROUNDUP(G38/VperChamber,0),ROUNDDOWN(G38/VperChamber,0)))</f>
        <v>#VALUE!</v>
      </c>
      <c r="D40" s="128" t="s">
        <v>8</v>
      </c>
      <c r="E40" s="128"/>
      <c r="F40" s="158" t="s">
        <v>95</v>
      </c>
      <c r="G40" s="159"/>
      <c r="H40" s="160" t="e">
        <f>IF(OR(C41="YES",C42="YES"),C45,IF(C40&lt;0,C37*C36-C40,C37*C36-C40))</f>
        <v>#VALUE!</v>
      </c>
      <c r="I40" s="161"/>
      <c r="J40" s="129"/>
      <c r="K40" s="156" t="s">
        <v>29</v>
      </c>
      <c r="L40" s="131"/>
      <c r="M40" s="157" t="e">
        <f>IF(M25=1,0,IF(ABS(Q38)&lt;VperChamber,ROUNDUP(Q38/VperChamber,0),ROUNDDOWN(Q38/VperChamber,0)))</f>
        <v>#VALUE!</v>
      </c>
      <c r="N40" s="128" t="s">
        <v>8</v>
      </c>
      <c r="O40" s="128"/>
      <c r="P40" s="158" t="s">
        <v>95</v>
      </c>
      <c r="Q40" s="159"/>
      <c r="R40" s="160" t="e">
        <f>IF(OR(M41="YES",M42="YES"),M45,IF(M40&lt;0,M37*M36-M40,M37*M36-M40))</f>
        <v>#VALUE!</v>
      </c>
      <c r="S40" s="50"/>
      <c r="T40" s="31"/>
      <c r="U40" s="15"/>
      <c r="V40" s="16"/>
      <c r="W40" s="31"/>
      <c r="X40" s="31"/>
      <c r="Y40" s="7"/>
    </row>
    <row r="41" spans="1:25" ht="12.75">
      <c r="A41" s="71" t="s">
        <v>114</v>
      </c>
      <c r="B41" s="86"/>
      <c r="C41" s="132" t="e">
        <f>IF(AND(G38&gt;0,ABS(G38)/C38&gt;=0,C37&lt;2),"YES","NO")</f>
        <v>#VALUE!</v>
      </c>
      <c r="D41" s="224" t="e">
        <f>IF(C41="YES",ABS(G38)/C38,"n/a")</f>
        <v>#VALUE!</v>
      </c>
      <c r="E41" s="132" t="e">
        <f>IF(C41="NO",0,IF(ROUNDUP(D41,0)-D41&gt;0,1))</f>
        <v>#VALUE!</v>
      </c>
      <c r="F41" s="158" t="s">
        <v>94</v>
      </c>
      <c r="G41" s="159"/>
      <c r="H41" s="160" t="e">
        <f>IF(OR(C41="YES",C42="YES"),C46,C37*2)</f>
        <v>#VALUE!</v>
      </c>
      <c r="I41" s="161"/>
      <c r="J41" s="129"/>
      <c r="K41" s="71" t="s">
        <v>114</v>
      </c>
      <c r="L41" s="86"/>
      <c r="M41" s="132" t="e">
        <f>IF(AND(Q38&gt;0,ABS(Q38)/M38&gt;=0,M37&lt;2),"YES","NO")</f>
        <v>#VALUE!</v>
      </c>
      <c r="N41" s="224" t="e">
        <f>IF(M41="YES",ABS(Q38)/M38,"n/a")</f>
        <v>#VALUE!</v>
      </c>
      <c r="O41" s="132" t="e">
        <f>IF(M41="NO",0,IF(ROUNDUP(N41,0)-N41&gt;0,1))</f>
        <v>#VALUE!</v>
      </c>
      <c r="P41" s="158" t="s">
        <v>94</v>
      </c>
      <c r="Q41" s="159"/>
      <c r="R41" s="160" t="e">
        <f>IF(OR(M41="YES",M42="YES"),M46,M37*2)</f>
        <v>#VALUE!</v>
      </c>
      <c r="S41" s="50"/>
      <c r="T41" s="31"/>
      <c r="U41" s="15"/>
      <c r="V41" s="16"/>
      <c r="W41" s="31"/>
      <c r="X41" s="31"/>
      <c r="Y41" s="7"/>
    </row>
    <row r="42" spans="1:25" ht="12.75">
      <c r="A42" s="71" t="s">
        <v>115</v>
      </c>
      <c r="B42" s="86"/>
      <c r="C42" s="132" t="e">
        <f>IF(AND(G38&lt;0,ABS(G38)&gt;=C38),"YES","NO")</f>
        <v>#VALUE!</v>
      </c>
      <c r="D42" s="227" t="e">
        <f>IF(C42="YES",ABS(G38)/C38,"n/a")</f>
        <v>#VALUE!</v>
      </c>
      <c r="E42" s="132" t="e">
        <f>IF(C42="NO",0,IF(ROUNDUP(D42,0)-D42&gt;0,1))</f>
        <v>#VALUE!</v>
      </c>
      <c r="F42" s="158" t="s">
        <v>96</v>
      </c>
      <c r="G42" s="158"/>
      <c r="H42" s="160">
        <f>StorageV</f>
        <v>100</v>
      </c>
      <c r="I42" s="161" t="s">
        <v>75</v>
      </c>
      <c r="J42" s="129"/>
      <c r="K42" s="71" t="s">
        <v>115</v>
      </c>
      <c r="L42" s="86"/>
      <c r="M42" s="132" t="e">
        <f>IF(AND(Q38&lt;0,ABS(Q38)&gt;=M38),"YES","NO")</f>
        <v>#VALUE!</v>
      </c>
      <c r="N42" s="227" t="e">
        <f>IF(M42="YES",ABS(Q38)/M38,"n/a")</f>
        <v>#VALUE!</v>
      </c>
      <c r="O42" s="132" t="e">
        <f>IF(M42="NO",0,IF(ROUNDUP(N42,0)-N42&gt;0,1))</f>
        <v>#VALUE!</v>
      </c>
      <c r="P42" s="158" t="s">
        <v>96</v>
      </c>
      <c r="Q42" s="158"/>
      <c r="R42" s="160">
        <f>StorageV</f>
        <v>100</v>
      </c>
      <c r="S42" s="50" t="s">
        <v>84</v>
      </c>
      <c r="T42" s="31"/>
      <c r="U42" s="15"/>
      <c r="V42" s="16"/>
      <c r="W42" s="31"/>
      <c r="X42" s="31"/>
      <c r="Y42" s="7"/>
    </row>
    <row r="43" spans="1:25" ht="12.75">
      <c r="A43" s="70" t="s">
        <v>116</v>
      </c>
      <c r="C43" s="228" t="e">
        <f>IF(OR(E41=1,E42=1),"YES","NO")</f>
        <v>#VALUE!</v>
      </c>
      <c r="E43" s="128"/>
      <c r="F43" s="158" t="s">
        <v>97</v>
      </c>
      <c r="G43" s="158"/>
      <c r="H43" s="162" t="e">
        <f>H40*VperChamber+EndCapV*'Imperial-Metric'!H41</f>
        <v>#VALUE!</v>
      </c>
      <c r="I43" s="161" t="s">
        <v>75</v>
      </c>
      <c r="J43" s="129"/>
      <c r="K43" s="70" t="s">
        <v>116</v>
      </c>
      <c r="M43" s="228" t="e">
        <f>IF(OR(O41=1,O42=1),"YES","NO")</f>
        <v>#VALUE!</v>
      </c>
      <c r="O43" s="128"/>
      <c r="P43" s="158" t="s">
        <v>97</v>
      </c>
      <c r="Q43" s="158"/>
      <c r="R43" s="162" t="e">
        <f>R40*VperChamber+EndCapV*'Imperial-Metric'!R41</f>
        <v>#VALUE!</v>
      </c>
      <c r="S43" s="50" t="s">
        <v>84</v>
      </c>
      <c r="T43" s="31"/>
      <c r="U43" s="15"/>
      <c r="V43" s="16"/>
      <c r="W43" s="31"/>
      <c r="X43" s="31"/>
      <c r="Y43" s="7"/>
    </row>
    <row r="44" spans="2:25" ht="12.75">
      <c r="B44" t="s">
        <v>117</v>
      </c>
      <c r="C44" s="228" t="e">
        <f>IF(C41="YES",ROUNDDOWN(D41,0),IF(C42="YES",ROUNDUP(D42,0),0))</f>
        <v>#VALUE!</v>
      </c>
      <c r="E44" s="128"/>
      <c r="F44" s="158" t="s">
        <v>98</v>
      </c>
      <c r="G44" s="160"/>
      <c r="H44" s="160" t="e">
        <f>IF(OR(C41="YES",C42="YES"),H43/C38,C37)</f>
        <v>#VALUE!</v>
      </c>
      <c r="I44" s="163"/>
      <c r="J44" s="129"/>
      <c r="L44" t="s">
        <v>117</v>
      </c>
      <c r="M44" s="228" t="e">
        <f>IF(M41="YES",ROUNDDOWN(N41,0),IF(M42="YES",ROUNDUP(N42,0),0))</f>
        <v>#VALUE!</v>
      </c>
      <c r="O44" s="128"/>
      <c r="P44" s="158" t="s">
        <v>98</v>
      </c>
      <c r="Q44" s="160"/>
      <c r="R44" s="160" t="e">
        <f>IF(OR(M41="YES",M42="YES"),R43/M38,M37)</f>
        <v>#VALUE!</v>
      </c>
      <c r="S44" s="20"/>
      <c r="T44" s="31"/>
      <c r="U44" s="15"/>
      <c r="V44" s="16"/>
      <c r="W44" s="31"/>
      <c r="X44" s="31"/>
      <c r="Y44" s="7"/>
    </row>
    <row r="45" spans="2:25" ht="12.75">
      <c r="B45" t="s">
        <v>118</v>
      </c>
      <c r="C45" s="228" t="e">
        <f>IF(C41="YES",C36*C37-C44*C36,IF(C42="YES",C36*C37+C44*C36,"n/a"))</f>
        <v>#VALUE!</v>
      </c>
      <c r="E45" s="128"/>
      <c r="F45" s="158" t="s">
        <v>99</v>
      </c>
      <c r="G45" s="164"/>
      <c r="H45" s="164" t="e">
        <f>IF(H40&lt;C14,1,ROUNDDOWN(H40/C14,0))</f>
        <v>#VALUE!</v>
      </c>
      <c r="I45" s="165" t="s">
        <v>101</v>
      </c>
      <c r="J45" s="129"/>
      <c r="L45" t="s">
        <v>118</v>
      </c>
      <c r="M45" s="228" t="e">
        <f>IF(M41="YES",M36*M37-M44*M36,IF(M42="YES",M36*M37+M44*M36,"n/a"))</f>
        <v>#VALUE!</v>
      </c>
      <c r="O45" s="128"/>
      <c r="P45" s="158" t="s">
        <v>99</v>
      </c>
      <c r="Q45" s="164"/>
      <c r="R45" s="164" t="e">
        <f>IF(R40&lt;M14,1,ROUNDDOWN(R40/M14,0))</f>
        <v>#VALUE!</v>
      </c>
      <c r="S45" s="104" t="s">
        <v>101</v>
      </c>
      <c r="T45" s="31"/>
      <c r="U45" s="15"/>
      <c r="V45" s="16"/>
      <c r="W45" s="31"/>
      <c r="X45" s="31"/>
      <c r="Y45" s="7"/>
    </row>
    <row r="46" spans="2:25" ht="12.75">
      <c r="B46" t="s">
        <v>119</v>
      </c>
      <c r="C46" s="228" t="e">
        <f>IF(C41="YES",C37*2-C44*2,IF(C42="YES",C37*2+C44*2,"n/a"))</f>
        <v>#VALUE!</v>
      </c>
      <c r="D46" s="166"/>
      <c r="E46" s="167"/>
      <c r="F46" s="168" t="s">
        <v>100</v>
      </c>
      <c r="G46" s="169"/>
      <c r="H46" s="169" t="e">
        <f>IF(C15&lt;C14,0,IF((H40/C14-ROUNDDOWN(H40/C14,0))=0,0,1))</f>
        <v>#VALUE!</v>
      </c>
      <c r="I46" s="170" t="s">
        <v>102</v>
      </c>
      <c r="J46" s="171"/>
      <c r="L46" t="s">
        <v>119</v>
      </c>
      <c r="M46" s="228" t="e">
        <f>IF(M41="YES",M37*2-M44*2,IF(M42="YES",M37*2+M44*2,"n/a"))</f>
        <v>#VALUE!</v>
      </c>
      <c r="N46" s="166"/>
      <c r="O46" s="167"/>
      <c r="P46" s="168" t="s">
        <v>100</v>
      </c>
      <c r="Q46" s="169"/>
      <c r="R46" s="169" t="e">
        <f>IF(M15&lt;M14,0,IF((R40/M14-ROUNDDOWN(R40/M14,0))=0,0,1))</f>
        <v>#VALUE!</v>
      </c>
      <c r="S46" s="105" t="s">
        <v>102</v>
      </c>
      <c r="T46" s="106"/>
      <c r="U46" s="4"/>
      <c r="V46" s="2"/>
      <c r="W46" s="8"/>
      <c r="X46" s="7"/>
      <c r="Y46" s="7"/>
    </row>
    <row r="47" spans="1:25" ht="12.75">
      <c r="A47" s="137"/>
      <c r="B47" s="138" t="s">
        <v>20</v>
      </c>
      <c r="C47" s="139"/>
      <c r="D47" s="139"/>
      <c r="E47" s="139"/>
      <c r="F47" s="74"/>
      <c r="G47" s="74"/>
      <c r="H47" s="74"/>
      <c r="I47" s="74"/>
      <c r="J47" s="140"/>
      <c r="K47" s="137"/>
      <c r="L47" s="138" t="s">
        <v>20</v>
      </c>
      <c r="M47" s="139"/>
      <c r="N47" s="139"/>
      <c r="O47" s="139"/>
      <c r="P47" s="74"/>
      <c r="Q47" s="74"/>
      <c r="R47" s="74"/>
      <c r="T47" s="32"/>
      <c r="U47" s="17"/>
      <c r="V47" s="32"/>
      <c r="W47" s="32"/>
      <c r="X47" s="32"/>
      <c r="Y47" s="7"/>
    </row>
    <row r="48" spans="1:25" ht="12.75">
      <c r="A48" s="137" t="s">
        <v>38</v>
      </c>
      <c r="B48" s="139"/>
      <c r="C48" s="141">
        <f>IF(ControlD="LENGTH","N/A",C28)</f>
        <v>0</v>
      </c>
      <c r="D48" s="139" t="s">
        <v>9</v>
      </c>
      <c r="E48" s="139"/>
      <c r="F48" s="74"/>
      <c r="G48" s="74"/>
      <c r="H48" s="74"/>
      <c r="I48" s="74"/>
      <c r="J48" s="140"/>
      <c r="K48" s="137" t="s">
        <v>38</v>
      </c>
      <c r="L48" s="139"/>
      <c r="M48" s="141">
        <f>IF(ControlD="LENGTH","N/A",M28)</f>
        <v>2</v>
      </c>
      <c r="N48" s="139" t="s">
        <v>9</v>
      </c>
      <c r="O48" s="139"/>
      <c r="P48" s="74"/>
      <c r="Q48" s="74"/>
      <c r="R48" s="74"/>
      <c r="T48" s="32"/>
      <c r="U48" s="32"/>
      <c r="V48" s="18"/>
      <c r="W48" s="32"/>
      <c r="X48" s="32"/>
      <c r="Y48" s="7"/>
    </row>
    <row r="49" spans="1:25" ht="12.75">
      <c r="A49" s="172" t="s">
        <v>109</v>
      </c>
      <c r="B49" s="142"/>
      <c r="C49" s="173" t="e">
        <f>StorageV/'Imperial-Metric'!C48</f>
        <v>#DIV/0!</v>
      </c>
      <c r="D49" s="142" t="s">
        <v>12</v>
      </c>
      <c r="E49" s="139"/>
      <c r="F49" s="74"/>
      <c r="G49" s="74"/>
      <c r="H49" s="74"/>
      <c r="I49" s="74"/>
      <c r="J49" s="140"/>
      <c r="K49" s="172" t="s">
        <v>109</v>
      </c>
      <c r="L49" s="142"/>
      <c r="M49" s="173">
        <f>StorageV/'Imperial-Metric'!M48</f>
        <v>50</v>
      </c>
      <c r="N49" s="142" t="s">
        <v>84</v>
      </c>
      <c r="O49" s="139"/>
      <c r="P49" s="74"/>
      <c r="Q49" s="74"/>
      <c r="R49" s="74"/>
      <c r="T49" s="32"/>
      <c r="U49" s="32"/>
      <c r="V49" s="18"/>
      <c r="W49" s="32"/>
      <c r="X49" s="32"/>
      <c r="Y49" s="7"/>
    </row>
    <row r="50" spans="1:25" ht="12.75">
      <c r="A50" s="137" t="s">
        <v>16</v>
      </c>
      <c r="B50" s="139"/>
      <c r="C50" s="141" t="e">
        <f>IF(ControlD="LENGTH","N/A",(ROUNDUP((C49-2*EndCapV)/VperChamber,0)))</f>
        <v>#DIV/0!</v>
      </c>
      <c r="D50" s="139" t="s">
        <v>18</v>
      </c>
      <c r="E50" s="139"/>
      <c r="F50" s="140" t="s">
        <v>110</v>
      </c>
      <c r="G50" s="140"/>
      <c r="H50" s="140" t="e">
        <f>C48*C50*VperChamber+C48*2*EndCapV</f>
        <v>#DIV/0!</v>
      </c>
      <c r="I50" s="141" t="s">
        <v>75</v>
      </c>
      <c r="J50" s="140"/>
      <c r="K50" s="137" t="s">
        <v>16</v>
      </c>
      <c r="L50" s="139"/>
      <c r="M50" s="141">
        <f>IF(ControlD="LENGTH","N/A",ROUNDUP((M49-2*EndCapV)/VperChamber,0))</f>
        <v>10</v>
      </c>
      <c r="N50" s="139" t="s">
        <v>18</v>
      </c>
      <c r="O50" s="139"/>
      <c r="P50" s="140" t="s">
        <v>110</v>
      </c>
      <c r="Q50" s="140"/>
      <c r="R50" s="140">
        <f>M48*M50*VperChamber+M48*2*EndCapV</f>
        <v>104</v>
      </c>
      <c r="S50" s="18" t="s">
        <v>84</v>
      </c>
      <c r="T50" s="32"/>
      <c r="U50" s="32"/>
      <c r="V50" s="18"/>
      <c r="W50" s="32"/>
      <c r="X50" s="32"/>
      <c r="Y50" s="7"/>
    </row>
    <row r="51" spans="1:25" ht="12.75">
      <c r="A51" s="137" t="s">
        <v>45</v>
      </c>
      <c r="B51" s="139"/>
      <c r="C51" s="174">
        <f>StorageV</f>
        <v>100</v>
      </c>
      <c r="D51" s="139" t="s">
        <v>12</v>
      </c>
      <c r="E51" s="139"/>
      <c r="F51" s="121"/>
      <c r="G51" s="140"/>
      <c r="H51" s="140"/>
      <c r="I51" s="141"/>
      <c r="J51" s="140"/>
      <c r="K51" s="137" t="s">
        <v>45</v>
      </c>
      <c r="L51" s="139"/>
      <c r="M51" s="174">
        <f>StorageV</f>
        <v>100</v>
      </c>
      <c r="N51" s="139" t="s">
        <v>84</v>
      </c>
      <c r="O51" s="139"/>
      <c r="P51" s="121"/>
      <c r="Q51" s="140"/>
      <c r="R51" s="140"/>
      <c r="S51" s="18"/>
      <c r="T51" s="32"/>
      <c r="U51" s="32"/>
      <c r="V51" s="18"/>
      <c r="W51" s="32"/>
      <c r="X51" s="32"/>
      <c r="Y51" s="7"/>
    </row>
    <row r="52" spans="1:25" ht="12.75">
      <c r="A52" s="137" t="s">
        <v>46</v>
      </c>
      <c r="B52" s="139"/>
      <c r="C52" s="174"/>
      <c r="D52" s="139" t="s">
        <v>12</v>
      </c>
      <c r="E52" s="139"/>
      <c r="F52" s="121" t="e">
        <f>IF(H50&gt;StorageV+VperChamber,ROUNDUP((H50-StorageV),0),0)</f>
        <v>#DIV/0!</v>
      </c>
      <c r="G52" s="140"/>
      <c r="H52" s="140"/>
      <c r="I52" s="141"/>
      <c r="J52" s="140"/>
      <c r="K52" s="137" t="s">
        <v>46</v>
      </c>
      <c r="L52" s="139"/>
      <c r="M52" s="174"/>
      <c r="N52" s="139" t="s">
        <v>84</v>
      </c>
      <c r="O52" s="139"/>
      <c r="P52" s="121">
        <f>IF(R50&gt;StorageV+VperChamber,ROUNDUP((R50-StorageV),0),0)</f>
        <v>0</v>
      </c>
      <c r="Q52" s="140"/>
      <c r="R52" s="140"/>
      <c r="S52" s="18"/>
      <c r="T52" s="32"/>
      <c r="U52" s="32"/>
      <c r="V52" s="18"/>
      <c r="W52" s="32"/>
      <c r="X52" s="32"/>
      <c r="Y52" s="7"/>
    </row>
    <row r="53" spans="1:25" ht="12.75">
      <c r="A53" s="137" t="s">
        <v>104</v>
      </c>
      <c r="B53" s="139"/>
      <c r="C53" s="174"/>
      <c r="D53" s="74"/>
      <c r="E53" s="139"/>
      <c r="F53" s="121" t="e">
        <f>ROUNDDOWN(F52/VperChamber,0)</f>
        <v>#DIV/0!</v>
      </c>
      <c r="G53" s="140"/>
      <c r="H53" s="140"/>
      <c r="I53" s="141"/>
      <c r="J53" s="140"/>
      <c r="K53" s="137" t="s">
        <v>104</v>
      </c>
      <c r="L53" s="139"/>
      <c r="M53" s="174"/>
      <c r="N53" s="74"/>
      <c r="O53" s="139"/>
      <c r="P53" s="121">
        <f>ROUNDDOWN(P52/VperChamber,0)</f>
        <v>0</v>
      </c>
      <c r="Q53" s="140"/>
      <c r="R53" s="140"/>
      <c r="S53" s="18"/>
      <c r="T53" s="32"/>
      <c r="U53" s="32"/>
      <c r="V53" s="18"/>
      <c r="W53" s="32"/>
      <c r="X53" s="32"/>
      <c r="Y53" s="7"/>
    </row>
    <row r="54" spans="1:25" ht="12.75">
      <c r="A54" s="74"/>
      <c r="B54" s="74"/>
      <c r="C54" s="74"/>
      <c r="D54" s="139"/>
      <c r="E54" s="139"/>
      <c r="F54" s="121"/>
      <c r="G54" s="140"/>
      <c r="H54" s="140"/>
      <c r="I54" s="141"/>
      <c r="J54" s="140"/>
      <c r="K54" s="74"/>
      <c r="L54" s="74"/>
      <c r="M54" s="74"/>
      <c r="N54" s="139"/>
      <c r="O54" s="139"/>
      <c r="P54" s="121"/>
      <c r="Q54" s="140"/>
      <c r="R54" s="140"/>
      <c r="S54" s="18"/>
      <c r="T54" s="32"/>
      <c r="U54" s="32"/>
      <c r="V54" s="18"/>
      <c r="W54" s="32"/>
      <c r="X54" s="32"/>
      <c r="Y54" s="7"/>
    </row>
    <row r="55" spans="1:25" ht="12.75">
      <c r="A55" s="137" t="s">
        <v>105</v>
      </c>
      <c r="B55" s="139"/>
      <c r="C55" s="174" t="e">
        <f>IF(F53&gt;0,C48-F53,IF(C48&lt;C19,C48,C19))</f>
        <v>#DIV/0!</v>
      </c>
      <c r="D55" s="139" t="s">
        <v>9</v>
      </c>
      <c r="E55" s="139" t="s">
        <v>16</v>
      </c>
      <c r="F55" s="121"/>
      <c r="G55" s="140" t="e">
        <f>IF(C48&lt;C19,1,C50)</f>
        <v>#DIV/0!</v>
      </c>
      <c r="H55" s="140"/>
      <c r="I55" s="141"/>
      <c r="J55" s="140"/>
      <c r="K55" s="137" t="s">
        <v>105</v>
      </c>
      <c r="L55" s="139"/>
      <c r="M55" s="174">
        <f>IF(P53&gt;0,M48-P53,IF(M48&lt;M19,M48,M19))</f>
        <v>2</v>
      </c>
      <c r="N55" s="139" t="s">
        <v>9</v>
      </c>
      <c r="O55" s="139" t="s">
        <v>16</v>
      </c>
      <c r="P55" s="121"/>
      <c r="Q55" s="140">
        <f>IF(M48&lt;M19,1,M50)</f>
        <v>10</v>
      </c>
      <c r="R55" s="140"/>
      <c r="S55" s="18"/>
      <c r="T55" s="32"/>
      <c r="U55" s="32"/>
      <c r="V55" s="18"/>
      <c r="W55" s="32"/>
      <c r="X55" s="32"/>
      <c r="Y55" s="7"/>
    </row>
    <row r="56" spans="1:25" ht="12.75">
      <c r="A56" s="137" t="s">
        <v>106</v>
      </c>
      <c r="B56" s="139"/>
      <c r="C56" s="174" t="e">
        <f>F53</f>
        <v>#DIV/0!</v>
      </c>
      <c r="D56" s="139" t="s">
        <v>9</v>
      </c>
      <c r="E56" s="139" t="s">
        <v>16</v>
      </c>
      <c r="F56" s="121"/>
      <c r="G56" s="140" t="e">
        <f>IF(C56=0,0,C50-1)</f>
        <v>#DIV/0!</v>
      </c>
      <c r="H56" s="140"/>
      <c r="I56" s="141"/>
      <c r="J56" s="140"/>
      <c r="K56" s="137" t="s">
        <v>106</v>
      </c>
      <c r="L56" s="139"/>
      <c r="M56" s="174">
        <f>P53</f>
        <v>0</v>
      </c>
      <c r="N56" s="139" t="s">
        <v>9</v>
      </c>
      <c r="O56" s="139" t="s">
        <v>16</v>
      </c>
      <c r="P56" s="121"/>
      <c r="Q56" s="140">
        <f>IF(M56=0,0,M50-1)</f>
        <v>0</v>
      </c>
      <c r="R56" s="140"/>
      <c r="S56" s="18"/>
      <c r="T56" s="32"/>
      <c r="U56" s="32"/>
      <c r="V56" s="18"/>
      <c r="W56" s="32"/>
      <c r="X56" s="32"/>
      <c r="Y56" s="7"/>
    </row>
    <row r="57" spans="1:25" ht="12.75">
      <c r="A57" s="137"/>
      <c r="B57" s="139"/>
      <c r="C57" s="174"/>
      <c r="D57" s="139"/>
      <c r="E57" s="139"/>
      <c r="F57" s="121"/>
      <c r="G57" s="140"/>
      <c r="H57" s="140"/>
      <c r="I57" s="141"/>
      <c r="J57" s="140"/>
      <c r="K57" s="137"/>
      <c r="L57" s="139"/>
      <c r="M57" s="174"/>
      <c r="N57" s="139"/>
      <c r="O57" s="139"/>
      <c r="P57" s="121"/>
      <c r="Q57" s="140"/>
      <c r="R57" s="140"/>
      <c r="S57" s="18"/>
      <c r="T57" s="32"/>
      <c r="U57" s="32"/>
      <c r="V57" s="18"/>
      <c r="W57" s="32"/>
      <c r="X57" s="32"/>
      <c r="Y57" s="7"/>
    </row>
    <row r="58" spans="1:25" ht="12.75">
      <c r="A58" s="137"/>
      <c r="B58" s="139"/>
      <c r="C58" s="174"/>
      <c r="D58" s="139"/>
      <c r="E58" s="139"/>
      <c r="F58" s="121"/>
      <c r="G58" s="140"/>
      <c r="H58" s="140"/>
      <c r="I58" s="141"/>
      <c r="J58" s="140"/>
      <c r="K58" s="137"/>
      <c r="L58" s="139"/>
      <c r="M58" s="174"/>
      <c r="N58" s="139"/>
      <c r="O58" s="139"/>
      <c r="P58" s="121"/>
      <c r="Q58" s="140"/>
      <c r="R58" s="140"/>
      <c r="S58" s="18"/>
      <c r="T58" s="32"/>
      <c r="U58" s="32"/>
      <c r="V58" s="18"/>
      <c r="W58" s="32"/>
      <c r="X58" s="32"/>
      <c r="Y58" s="7"/>
    </row>
    <row r="59" spans="1:25" ht="12.75">
      <c r="A59" s="140" t="s">
        <v>47</v>
      </c>
      <c r="B59" s="140"/>
      <c r="C59" s="140"/>
      <c r="D59" s="141"/>
      <c r="E59" s="140"/>
      <c r="F59" s="140"/>
      <c r="G59" s="121"/>
      <c r="H59" s="60"/>
      <c r="I59" s="60"/>
      <c r="J59" s="74"/>
      <c r="K59" s="140" t="s">
        <v>47</v>
      </c>
      <c r="L59" s="140"/>
      <c r="M59" s="140"/>
      <c r="N59" s="141"/>
      <c r="O59" s="140"/>
      <c r="P59" s="140"/>
      <c r="Q59" s="121"/>
      <c r="R59" s="60"/>
      <c r="S59" s="3"/>
      <c r="U59" s="32"/>
      <c r="V59" s="18"/>
      <c r="W59" s="32"/>
      <c r="X59" s="32"/>
      <c r="Y59" s="7"/>
    </row>
    <row r="60" spans="1:25" ht="12.75">
      <c r="A60" s="140" t="s">
        <v>48</v>
      </c>
      <c r="B60" s="140"/>
      <c r="C60" s="141" t="str">
        <f>IF(C52&lt;0,ROUNDUP(-(C52)/C49,0),"N/A")</f>
        <v>N/A</v>
      </c>
      <c r="D60" s="141" t="s">
        <v>9</v>
      </c>
      <c r="E60" s="140"/>
      <c r="F60" s="140"/>
      <c r="G60" s="121"/>
      <c r="H60" s="60"/>
      <c r="I60" s="60"/>
      <c r="J60" s="74"/>
      <c r="K60" s="140" t="s">
        <v>48</v>
      </c>
      <c r="L60" s="140"/>
      <c r="M60" s="141" t="str">
        <f>IF(M52&lt;0,ROUNDUP(-(M52)/M49,0),"N/A")</f>
        <v>N/A</v>
      </c>
      <c r="N60" s="141" t="s">
        <v>9</v>
      </c>
      <c r="O60" s="140"/>
      <c r="P60" s="140"/>
      <c r="Q60" s="121"/>
      <c r="R60" s="60"/>
      <c r="S60" s="3"/>
      <c r="U60" s="18"/>
      <c r="V60" s="18"/>
      <c r="W60" s="32"/>
      <c r="X60" s="32"/>
      <c r="Y60" s="7"/>
    </row>
    <row r="61" spans="1:25" ht="12.75">
      <c r="A61" s="121"/>
      <c r="B61" s="140"/>
      <c r="C61" s="140"/>
      <c r="D61" s="141"/>
      <c r="E61" s="140"/>
      <c r="F61" s="140"/>
      <c r="G61" s="121"/>
      <c r="H61" s="60"/>
      <c r="I61" s="60"/>
      <c r="J61" s="74"/>
      <c r="K61" s="121"/>
      <c r="L61" s="140"/>
      <c r="M61" s="140"/>
      <c r="N61" s="141"/>
      <c r="O61" s="140"/>
      <c r="P61" s="140"/>
      <c r="Q61" s="121"/>
      <c r="R61" s="60"/>
      <c r="S61" s="3"/>
      <c r="U61" s="32"/>
      <c r="V61" s="18"/>
      <c r="W61" s="32"/>
      <c r="X61" s="32"/>
      <c r="Y61" s="7"/>
    </row>
    <row r="62" spans="1:25" ht="12.75">
      <c r="A62" s="175"/>
      <c r="B62" s="175"/>
      <c r="C62" s="175"/>
      <c r="D62" s="175"/>
      <c r="E62" s="175"/>
      <c r="F62" s="175"/>
      <c r="G62" s="153"/>
      <c r="H62" s="60"/>
      <c r="I62" s="60"/>
      <c r="J62" s="74"/>
      <c r="K62" s="175"/>
      <c r="L62" s="175"/>
      <c r="M62" s="175"/>
      <c r="N62" s="175"/>
      <c r="O62" s="175"/>
      <c r="P62" s="175"/>
      <c r="Q62" s="153"/>
      <c r="R62" s="60"/>
      <c r="S62" s="3"/>
      <c r="U62" s="32"/>
      <c r="V62" s="18"/>
      <c r="W62" s="32"/>
      <c r="X62" s="32"/>
      <c r="Y62" s="7"/>
    </row>
    <row r="63" spans="1:25" ht="12.75">
      <c r="A63" s="175" t="s">
        <v>20</v>
      </c>
      <c r="B63" s="175"/>
      <c r="C63" s="175"/>
      <c r="D63" s="175"/>
      <c r="E63" s="175"/>
      <c r="F63" s="175"/>
      <c r="G63" s="153"/>
      <c r="H63" s="60"/>
      <c r="I63" s="60"/>
      <c r="J63" s="74"/>
      <c r="K63" s="175" t="s">
        <v>20</v>
      </c>
      <c r="L63" s="175"/>
      <c r="M63" s="175"/>
      <c r="N63" s="175"/>
      <c r="O63" s="175"/>
      <c r="P63" s="175"/>
      <c r="Q63" s="153"/>
      <c r="R63" s="60"/>
      <c r="S63" s="3"/>
      <c r="U63" s="32"/>
      <c r="V63" s="18"/>
      <c r="W63" s="32"/>
      <c r="X63" s="32"/>
      <c r="Y63" s="7"/>
    </row>
    <row r="64" spans="1:25" ht="12.75">
      <c r="A64" s="153" t="s">
        <v>72</v>
      </c>
      <c r="B64" s="176"/>
      <c r="C64" s="176"/>
      <c r="D64" s="177"/>
      <c r="E64" s="176">
        <f>IF(ControlD="WIDTH",ROUNDDOWN(C52/VperChamber,0),0)</f>
        <v>0</v>
      </c>
      <c r="F64" s="176"/>
      <c r="G64" s="153"/>
      <c r="H64" s="60"/>
      <c r="I64" s="60"/>
      <c r="J64" s="74"/>
      <c r="K64" s="153" t="s">
        <v>72</v>
      </c>
      <c r="L64" s="176"/>
      <c r="M64" s="176"/>
      <c r="N64" s="177"/>
      <c r="O64" s="176">
        <f>IF(ControlD="WIDTH",ROUNDDOWN(M52/VperChamber,0),0)</f>
        <v>0</v>
      </c>
      <c r="P64" s="176"/>
      <c r="Q64" s="153"/>
      <c r="R64" s="60"/>
      <c r="S64" s="3"/>
      <c r="U64" s="32"/>
      <c r="V64" s="18"/>
      <c r="W64" s="32"/>
      <c r="X64" s="32"/>
      <c r="Y64" s="7"/>
    </row>
    <row r="65" spans="1:25" ht="12.75">
      <c r="A65" s="153"/>
      <c r="B65" s="176"/>
      <c r="C65" s="176"/>
      <c r="D65" s="177"/>
      <c r="E65" s="176"/>
      <c r="F65" s="176"/>
      <c r="G65" s="153"/>
      <c r="H65" s="60"/>
      <c r="I65" s="60"/>
      <c r="J65" s="74"/>
      <c r="K65" s="153"/>
      <c r="L65" s="176"/>
      <c r="M65" s="176"/>
      <c r="N65" s="177"/>
      <c r="O65" s="176"/>
      <c r="P65" s="176"/>
      <c r="Q65" s="153"/>
      <c r="R65" s="60"/>
      <c r="S65" s="3"/>
      <c r="U65" s="32"/>
      <c r="V65" s="18"/>
      <c r="W65" s="32"/>
      <c r="X65" s="32"/>
      <c r="Y65" s="7"/>
    </row>
    <row r="66" spans="1:25" ht="12.75">
      <c r="A66" s="153"/>
      <c r="B66" s="176"/>
      <c r="C66" s="176"/>
      <c r="D66" s="177"/>
      <c r="E66" s="176"/>
      <c r="F66" s="176"/>
      <c r="G66" s="153"/>
      <c r="H66" s="60"/>
      <c r="I66" s="60"/>
      <c r="J66" s="74"/>
      <c r="K66" s="153"/>
      <c r="L66" s="176"/>
      <c r="M66" s="176"/>
      <c r="N66" s="177"/>
      <c r="O66" s="176"/>
      <c r="P66" s="176"/>
      <c r="Q66" s="153"/>
      <c r="R66" s="60"/>
      <c r="S66" s="3"/>
      <c r="U66" s="32"/>
      <c r="V66" s="18"/>
      <c r="W66" s="32"/>
      <c r="X66" s="32"/>
      <c r="Y66" s="7"/>
    </row>
    <row r="67" spans="1:25" ht="12.75">
      <c r="A67" s="153"/>
      <c r="B67" s="178" t="e">
        <f>C55</f>
        <v>#DIV/0!</v>
      </c>
      <c r="C67" s="176" t="s">
        <v>73</v>
      </c>
      <c r="D67" s="177" t="e">
        <f>G55</f>
        <v>#DIV/0!</v>
      </c>
      <c r="E67" s="176" t="s">
        <v>8</v>
      </c>
      <c r="F67" s="176"/>
      <c r="G67" s="153"/>
      <c r="H67" s="60"/>
      <c r="I67" s="60"/>
      <c r="J67" s="74"/>
      <c r="K67" s="153"/>
      <c r="L67" s="178">
        <f>M55</f>
        <v>2</v>
      </c>
      <c r="M67" s="176" t="s">
        <v>73</v>
      </c>
      <c r="N67" s="177">
        <f>Q55</f>
        <v>10</v>
      </c>
      <c r="O67" s="176" t="s">
        <v>8</v>
      </c>
      <c r="P67" s="176"/>
      <c r="Q67" s="153"/>
      <c r="R67" s="60"/>
      <c r="S67" s="3"/>
      <c r="U67" s="32"/>
      <c r="V67" s="18"/>
      <c r="W67" s="32"/>
      <c r="X67" s="32"/>
      <c r="Y67" s="7"/>
    </row>
    <row r="68" spans="1:25" ht="12.75">
      <c r="A68" s="153"/>
      <c r="B68" s="178" t="e">
        <f>C56</f>
        <v>#DIV/0!</v>
      </c>
      <c r="C68" s="176" t="s">
        <v>73</v>
      </c>
      <c r="D68" s="177" t="e">
        <f>G56</f>
        <v>#DIV/0!</v>
      </c>
      <c r="E68" s="176" t="s">
        <v>8</v>
      </c>
      <c r="F68" s="176"/>
      <c r="G68" s="153"/>
      <c r="H68" s="60"/>
      <c r="I68" s="60"/>
      <c r="J68" s="74"/>
      <c r="K68" s="153"/>
      <c r="L68" s="178">
        <f>M56</f>
        <v>0</v>
      </c>
      <c r="M68" s="176" t="s">
        <v>73</v>
      </c>
      <c r="N68" s="177">
        <f>Q56</f>
        <v>0</v>
      </c>
      <c r="O68" s="176" t="s">
        <v>8</v>
      </c>
      <c r="P68" s="176"/>
      <c r="Q68" s="153"/>
      <c r="R68" s="60"/>
      <c r="S68" s="3"/>
      <c r="U68" s="32"/>
      <c r="V68" s="18"/>
      <c r="W68" s="32"/>
      <c r="X68" s="32"/>
      <c r="Y68" s="7"/>
    </row>
    <row r="69" spans="1:25" ht="12.75">
      <c r="A69" s="153"/>
      <c r="B69" s="179" t="e">
        <f>IF(B68=0,"",B68)</f>
        <v>#DIV/0!</v>
      </c>
      <c r="C69" s="179" t="s">
        <v>73</v>
      </c>
      <c r="D69" s="145" t="e">
        <f>IF(B68=0,"",D68)</f>
        <v>#DIV/0!</v>
      </c>
      <c r="E69" s="179" t="s">
        <v>8</v>
      </c>
      <c r="F69" s="179" t="s">
        <v>103</v>
      </c>
      <c r="G69" s="180"/>
      <c r="H69" s="181"/>
      <c r="I69" s="60"/>
      <c r="J69" s="74"/>
      <c r="K69" s="153"/>
      <c r="L69" s="179">
        <f>IF(L68=0,"",L68)</f>
      </c>
      <c r="M69" s="179" t="s">
        <v>73</v>
      </c>
      <c r="N69" s="145">
        <f>IF(L68=0,"",N68)</f>
      </c>
      <c r="O69" s="179" t="s">
        <v>8</v>
      </c>
      <c r="P69" s="179" t="s">
        <v>103</v>
      </c>
      <c r="Q69" s="180"/>
      <c r="R69" s="181"/>
      <c r="S69" s="3"/>
      <c r="U69" s="32"/>
      <c r="V69" s="18"/>
      <c r="W69" s="32"/>
      <c r="X69" s="32"/>
      <c r="Y69" s="7"/>
    </row>
    <row r="70" spans="1:25" ht="12.75">
      <c r="A70" s="153"/>
      <c r="B70" s="176"/>
      <c r="C70" s="176"/>
      <c r="D70" s="177"/>
      <c r="E70" s="176"/>
      <c r="F70" s="176"/>
      <c r="G70" s="153"/>
      <c r="H70" s="60"/>
      <c r="I70" s="60"/>
      <c r="J70" s="74"/>
      <c r="K70" s="153"/>
      <c r="L70" s="176"/>
      <c r="M70" s="176"/>
      <c r="N70" s="177"/>
      <c r="O70" s="176"/>
      <c r="P70" s="176"/>
      <c r="Q70" s="153"/>
      <c r="R70" s="60"/>
      <c r="S70" s="3"/>
      <c r="U70" s="32"/>
      <c r="V70" s="18"/>
      <c r="W70" s="32"/>
      <c r="X70" s="32"/>
      <c r="Y70" s="7"/>
    </row>
    <row r="71" spans="1:25" ht="12.75">
      <c r="A71" s="153"/>
      <c r="B71" s="176"/>
      <c r="C71" s="176" t="s">
        <v>74</v>
      </c>
      <c r="D71" s="177"/>
      <c r="E71" s="178" t="e">
        <f>IF(E64=0,(B67*D67*VperChamber+C48*2*EndCapV),(B67*D67+B68*D68)*VperChamber+EndCapV*'Imperial-Metric'!C48*2)</f>
        <v>#DIV/0!</v>
      </c>
      <c r="F71" s="176" t="s">
        <v>75</v>
      </c>
      <c r="G71" s="153"/>
      <c r="H71" s="60"/>
      <c r="I71" s="60"/>
      <c r="J71" s="74"/>
      <c r="K71" s="153"/>
      <c r="L71" s="176"/>
      <c r="M71" s="176" t="s">
        <v>74</v>
      </c>
      <c r="N71" s="177"/>
      <c r="O71" s="178">
        <f>IF(O64=0,(L67*N67*VperChamber+M48*2*EndCapV),(L67*N67+L68*N68)*VperChamber+EndCapV*'Imperial-Metric'!M48*2)</f>
        <v>104</v>
      </c>
      <c r="P71" s="176" t="s">
        <v>84</v>
      </c>
      <c r="Q71" s="153"/>
      <c r="R71" s="60"/>
      <c r="S71" s="3"/>
      <c r="U71" s="32"/>
      <c r="V71" s="18"/>
      <c r="W71" s="32"/>
      <c r="X71" s="32"/>
      <c r="Y71" s="7"/>
    </row>
    <row r="72" spans="1:25" ht="12.75">
      <c r="A72" s="153"/>
      <c r="B72" s="176"/>
      <c r="C72" s="176"/>
      <c r="D72" s="177"/>
      <c r="E72" s="176"/>
      <c r="F72" s="176"/>
      <c r="G72" s="153"/>
      <c r="H72" s="60"/>
      <c r="I72" s="60"/>
      <c r="J72" s="74"/>
      <c r="K72" s="153"/>
      <c r="L72" s="176"/>
      <c r="M72" s="176"/>
      <c r="N72" s="177"/>
      <c r="O72" s="176"/>
      <c r="P72" s="176"/>
      <c r="Q72" s="153"/>
      <c r="R72" s="60"/>
      <c r="S72" s="3"/>
      <c r="U72" s="32"/>
      <c r="V72" s="18"/>
      <c r="W72" s="32"/>
      <c r="X72" s="32"/>
      <c r="Y72" s="7"/>
    </row>
    <row r="73" spans="1:25" ht="12.75">
      <c r="A73" s="153" t="s">
        <v>78</v>
      </c>
      <c r="B73" s="176"/>
      <c r="C73" s="176"/>
      <c r="D73" s="177"/>
      <c r="E73" s="176"/>
      <c r="F73" s="176"/>
      <c r="G73" s="153"/>
      <c r="H73" s="60"/>
      <c r="I73" s="60"/>
      <c r="J73" s="74"/>
      <c r="K73" s="153" t="s">
        <v>78</v>
      </c>
      <c r="L73" s="176"/>
      <c r="M73" s="176"/>
      <c r="N73" s="177"/>
      <c r="O73" s="176"/>
      <c r="P73" s="176"/>
      <c r="Q73" s="153"/>
      <c r="R73" s="60"/>
      <c r="S73" s="3"/>
      <c r="U73" s="32"/>
      <c r="V73" s="18"/>
      <c r="W73" s="32"/>
      <c r="X73" s="32"/>
      <c r="Y73" s="7"/>
    </row>
    <row r="74" spans="1:25" ht="12.75">
      <c r="A74" s="153" t="s">
        <v>72</v>
      </c>
      <c r="B74" s="176"/>
      <c r="C74" s="176"/>
      <c r="D74" s="177"/>
      <c r="E74" s="176" t="str">
        <f>IF(Sheet1!E15="WIDTH","NA",IF(C40=C36,0,C40))</f>
        <v>NA</v>
      </c>
      <c r="F74" s="176"/>
      <c r="G74" s="153"/>
      <c r="H74" s="60"/>
      <c r="I74" s="60"/>
      <c r="J74" s="74"/>
      <c r="K74" s="153" t="s">
        <v>72</v>
      </c>
      <c r="L74" s="176"/>
      <c r="M74" s="176"/>
      <c r="N74" s="177"/>
      <c r="O74" s="176" t="str">
        <f>IF(Sheet1!E15="WIDTH","NA",IF(M40=M38,0,M40))</f>
        <v>NA</v>
      </c>
      <c r="P74" s="176"/>
      <c r="Q74" s="153"/>
      <c r="R74" s="60"/>
      <c r="S74" s="3"/>
      <c r="U74" s="32"/>
      <c r="V74" s="18"/>
      <c r="W74" s="32"/>
      <c r="X74" s="32"/>
      <c r="Y74" s="7"/>
    </row>
    <row r="75" spans="1:25" ht="12.75">
      <c r="A75" s="153"/>
      <c r="B75" s="176"/>
      <c r="C75" s="176"/>
      <c r="D75" s="177"/>
      <c r="E75" s="176"/>
      <c r="F75" s="176"/>
      <c r="G75" s="153"/>
      <c r="H75" s="60"/>
      <c r="I75" s="60"/>
      <c r="J75" s="74"/>
      <c r="K75" s="153"/>
      <c r="L75" s="176"/>
      <c r="M75" s="176"/>
      <c r="N75" s="177"/>
      <c r="O75" s="176"/>
      <c r="P75" s="176"/>
      <c r="Q75" s="153"/>
      <c r="R75" s="60"/>
      <c r="S75" s="3"/>
      <c r="U75" s="32"/>
      <c r="V75" s="18"/>
      <c r="W75" s="33"/>
      <c r="X75" s="32"/>
      <c r="Y75" s="7"/>
    </row>
    <row r="76" spans="1:25" ht="12.75">
      <c r="A76" s="153"/>
      <c r="B76" s="176"/>
      <c r="C76" s="176"/>
      <c r="D76" s="177"/>
      <c r="E76" s="176"/>
      <c r="F76" s="182"/>
      <c r="G76" s="153"/>
      <c r="H76" s="60"/>
      <c r="I76" s="60"/>
      <c r="J76" s="74"/>
      <c r="K76" s="153"/>
      <c r="L76" s="176"/>
      <c r="M76" s="176"/>
      <c r="N76" s="177"/>
      <c r="O76" s="176"/>
      <c r="P76" s="182"/>
      <c r="Q76" s="153"/>
      <c r="R76" s="60"/>
      <c r="S76" s="3"/>
      <c r="U76" s="32"/>
      <c r="V76" s="18"/>
      <c r="W76" s="33"/>
      <c r="X76" s="22"/>
      <c r="Y76" s="7"/>
    </row>
    <row r="77" spans="1:25" ht="12.75">
      <c r="A77" s="153"/>
      <c r="B77" s="179">
        <f>IF(E74="NA",0,H45)</f>
        <v>0</v>
      </c>
      <c r="C77" s="176" t="s">
        <v>73</v>
      </c>
      <c r="D77" s="177" t="str">
        <f>C36</f>
        <v>N/A</v>
      </c>
      <c r="E77" s="176" t="s">
        <v>8</v>
      </c>
      <c r="F77" s="176"/>
      <c r="G77" s="153"/>
      <c r="H77" s="60"/>
      <c r="I77" s="60"/>
      <c r="J77" s="74"/>
      <c r="K77" s="153"/>
      <c r="L77" s="179">
        <f>IF(O74="NA",0,R45)</f>
        <v>0</v>
      </c>
      <c r="M77" s="176" t="s">
        <v>73</v>
      </c>
      <c r="N77" s="177" t="str">
        <f>M36</f>
        <v>N/A</v>
      </c>
      <c r="O77" s="176" t="s">
        <v>8</v>
      </c>
      <c r="P77" s="176"/>
      <c r="Q77" s="153"/>
      <c r="R77" s="60"/>
      <c r="S77" s="3"/>
      <c r="U77" s="32"/>
      <c r="V77" s="18"/>
      <c r="W77" s="33"/>
      <c r="X77" s="22"/>
      <c r="Y77" s="7"/>
    </row>
    <row r="78" spans="1:25" ht="12.75">
      <c r="A78" s="153"/>
      <c r="B78" s="176" t="e">
        <f>IF(H46=0,0,1)</f>
        <v>#VALUE!</v>
      </c>
      <c r="C78" s="176" t="s">
        <v>73</v>
      </c>
      <c r="D78" s="177" t="e">
        <f>IF(H46=0,0,C36-ABS(E74))</f>
        <v>#VALUE!</v>
      </c>
      <c r="E78" s="176" t="s">
        <v>8</v>
      </c>
      <c r="F78" s="176"/>
      <c r="G78" s="153"/>
      <c r="H78" s="60"/>
      <c r="I78" s="60"/>
      <c r="J78" s="74"/>
      <c r="K78" s="153"/>
      <c r="L78" s="176" t="e">
        <f>IF(R46=0,0,1)</f>
        <v>#VALUE!</v>
      </c>
      <c r="M78" s="176" t="s">
        <v>73</v>
      </c>
      <c r="N78" s="177" t="e">
        <f>IF(R46=0,0,M36-ABS(O74))</f>
        <v>#VALUE!</v>
      </c>
      <c r="O78" s="176" t="s">
        <v>8</v>
      </c>
      <c r="P78" s="176"/>
      <c r="Q78" s="153"/>
      <c r="R78" s="60"/>
      <c r="S78" s="3"/>
      <c r="U78" s="32"/>
      <c r="V78" s="18"/>
      <c r="W78" s="33"/>
      <c r="X78" s="22"/>
      <c r="Y78" s="7"/>
    </row>
    <row r="79" spans="1:25" ht="12.75">
      <c r="A79" s="153"/>
      <c r="B79" s="179" t="e">
        <f>IF(B78=0,"",B78)</f>
        <v>#VALUE!</v>
      </c>
      <c r="C79" s="179" t="s">
        <v>73</v>
      </c>
      <c r="D79" s="145" t="e">
        <f>IF(B78=0,"",D78)</f>
        <v>#VALUE!</v>
      </c>
      <c r="E79" s="179" t="s">
        <v>8</v>
      </c>
      <c r="F79" s="179" t="s">
        <v>103</v>
      </c>
      <c r="G79" s="180"/>
      <c r="H79" s="181"/>
      <c r="I79" s="60"/>
      <c r="J79" s="74"/>
      <c r="K79" s="153"/>
      <c r="L79" s="179" t="e">
        <f>IF(L78=0,"",L78)</f>
        <v>#VALUE!</v>
      </c>
      <c r="M79" s="179" t="s">
        <v>73</v>
      </c>
      <c r="N79" s="145" t="e">
        <f>IF(L78=0,"",N78)</f>
        <v>#VALUE!</v>
      </c>
      <c r="O79" s="179" t="s">
        <v>8</v>
      </c>
      <c r="P79" s="179" t="s">
        <v>103</v>
      </c>
      <c r="Q79" s="180"/>
      <c r="R79" s="181"/>
      <c r="S79" s="3"/>
      <c r="U79" s="32"/>
      <c r="V79" s="18"/>
      <c r="W79" s="33"/>
      <c r="X79" s="22"/>
      <c r="Y79" s="7"/>
    </row>
    <row r="80" spans="1:25" ht="12.75">
      <c r="A80" s="153"/>
      <c r="B80" s="176"/>
      <c r="C80" s="176"/>
      <c r="D80" s="177"/>
      <c r="E80" s="176"/>
      <c r="F80" s="176"/>
      <c r="G80" s="153"/>
      <c r="H80" s="60"/>
      <c r="I80" s="60"/>
      <c r="J80" s="74"/>
      <c r="K80" s="153"/>
      <c r="L80" s="176"/>
      <c r="M80" s="176"/>
      <c r="N80" s="177"/>
      <c r="O80" s="176"/>
      <c r="P80" s="176"/>
      <c r="Q80" s="153"/>
      <c r="R80" s="60"/>
      <c r="S80" s="3"/>
      <c r="U80" s="32"/>
      <c r="V80" s="18"/>
      <c r="W80" s="33"/>
      <c r="X80" s="22"/>
      <c r="Y80" s="7"/>
    </row>
    <row r="81" spans="1:25" ht="12.75">
      <c r="A81" s="153"/>
      <c r="B81" s="176"/>
      <c r="C81" s="176" t="s">
        <v>74</v>
      </c>
      <c r="D81" s="177"/>
      <c r="E81" s="178" t="e">
        <f>IF(E74=0,(B77*D77*VperChamber+C37*2*EndCapV),(B77*D77+B78*D78)*VperChamber+EndCapV*C37*2)</f>
        <v>#VALUE!</v>
      </c>
      <c r="F81" s="176" t="s">
        <v>75</v>
      </c>
      <c r="G81" s="153"/>
      <c r="H81" s="60"/>
      <c r="I81" s="60"/>
      <c r="J81" s="74"/>
      <c r="K81" s="153"/>
      <c r="L81" s="176"/>
      <c r="M81" s="176" t="s">
        <v>74</v>
      </c>
      <c r="N81" s="177"/>
      <c r="O81" s="178" t="e">
        <f>IF(O74=0,(L77*N77*VperChamber+M37*2*EndCapV),(L77*N77+L78*N78)*VperChamber+EndCapV*M37*2)</f>
        <v>#VALUE!</v>
      </c>
      <c r="P81" s="176" t="s">
        <v>84</v>
      </c>
      <c r="Q81" s="153"/>
      <c r="R81" s="60"/>
      <c r="S81" s="3"/>
      <c r="U81" s="32"/>
      <c r="V81" s="18"/>
      <c r="W81" s="33"/>
      <c r="X81" s="22"/>
      <c r="Y81" s="7"/>
    </row>
    <row r="82" spans="1:25" ht="12.75">
      <c r="A82" s="183"/>
      <c r="B82" s="183"/>
      <c r="C82" s="183"/>
      <c r="D82" s="183"/>
      <c r="E82" s="183"/>
      <c r="F82" s="183"/>
      <c r="G82" s="183"/>
      <c r="H82" s="60"/>
      <c r="I82" s="60"/>
      <c r="J82" s="74"/>
      <c r="K82" s="183"/>
      <c r="L82" s="183"/>
      <c r="M82" s="183"/>
      <c r="N82" s="183"/>
      <c r="O82" s="183"/>
      <c r="P82" s="183"/>
      <c r="Q82" s="183"/>
      <c r="R82" s="60"/>
      <c r="S82" s="3"/>
      <c r="U82" s="3"/>
      <c r="V82" s="3"/>
      <c r="W82" s="3"/>
      <c r="X82" s="3"/>
      <c r="Y82" s="3"/>
    </row>
    <row r="83" spans="1:25" ht="12.75">
      <c r="A83" s="183"/>
      <c r="B83" s="183"/>
      <c r="C83" s="183"/>
      <c r="D83" s="183"/>
      <c r="E83" s="183"/>
      <c r="F83" s="183"/>
      <c r="G83" s="183"/>
      <c r="H83" s="60"/>
      <c r="I83" s="60"/>
      <c r="J83" s="74"/>
      <c r="K83" s="183"/>
      <c r="L83" s="183"/>
      <c r="M83" s="183"/>
      <c r="N83" s="183"/>
      <c r="O83" s="183"/>
      <c r="P83" s="183"/>
      <c r="Q83" s="183"/>
      <c r="R83" s="60"/>
      <c r="S83" s="3"/>
      <c r="U83" s="3"/>
      <c r="V83" s="3"/>
      <c r="W83" s="3"/>
      <c r="X83" s="3"/>
      <c r="Y83" s="3"/>
    </row>
    <row r="84" spans="1:25" ht="12.75">
      <c r="A84" s="183"/>
      <c r="B84" s="183"/>
      <c r="C84" s="183"/>
      <c r="D84" s="183"/>
      <c r="E84" s="183"/>
      <c r="F84" s="183"/>
      <c r="G84" s="183"/>
      <c r="H84" s="60"/>
      <c r="I84" s="60"/>
      <c r="J84" s="74"/>
      <c r="K84" s="183"/>
      <c r="L84" s="183"/>
      <c r="M84" s="183"/>
      <c r="N84" s="183"/>
      <c r="O84" s="183"/>
      <c r="P84" s="183"/>
      <c r="Q84" s="183"/>
      <c r="R84" s="60"/>
      <c r="S84" s="3"/>
      <c r="U84" s="3"/>
      <c r="V84" s="3"/>
      <c r="W84" s="3"/>
      <c r="X84" s="3"/>
      <c r="Y84" s="3"/>
    </row>
    <row r="85" spans="1:25" ht="12.75">
      <c r="A85" s="184"/>
      <c r="B85" s="184"/>
      <c r="C85" s="185"/>
      <c r="D85" s="184"/>
      <c r="E85" s="60"/>
      <c r="F85" s="121"/>
      <c r="G85" s="186"/>
      <c r="H85" s="186"/>
      <c r="I85" s="163"/>
      <c r="J85" s="186"/>
      <c r="K85" s="184"/>
      <c r="L85" s="184"/>
      <c r="M85" s="185"/>
      <c r="N85" s="184"/>
      <c r="O85" s="60"/>
      <c r="P85" s="121"/>
      <c r="Q85" s="186"/>
      <c r="R85" s="186"/>
      <c r="S85" s="20"/>
      <c r="T85" s="34"/>
      <c r="U85" s="34"/>
      <c r="V85" s="20"/>
      <c r="W85" s="34"/>
      <c r="X85" s="7"/>
      <c r="Y85" s="7"/>
    </row>
    <row r="86" spans="1:25" ht="12.75">
      <c r="A86" s="187" t="s">
        <v>27</v>
      </c>
      <c r="B86" s="90"/>
      <c r="C86" s="182" t="e">
        <f>IF(Sheet1!$E$15="WIDTH",IF(F53=0,B67*D67,B67*D67+B68*D68),IF(E74=0,B77*D77,(B77*D77+B78*D78)))</f>
        <v>#DIV/0!</v>
      </c>
      <c r="D86" s="113" t="s">
        <v>25</v>
      </c>
      <c r="E86" s="90"/>
      <c r="F86" s="121"/>
      <c r="G86" s="60"/>
      <c r="H86" s="60"/>
      <c r="I86" s="60"/>
      <c r="J86" s="74"/>
      <c r="K86" s="187" t="s">
        <v>27</v>
      </c>
      <c r="L86" s="90"/>
      <c r="M86" s="182">
        <f>IF(Sheet1!$E$15="WIDTH",IF(P53=0,L67*N67,L67*N67+L68*N68),IF(O74=0,L77*N77,(L77*N77+L78*N78)))</f>
        <v>20</v>
      </c>
      <c r="N86" s="113" t="s">
        <v>25</v>
      </c>
      <c r="O86" s="90"/>
      <c r="P86" s="121"/>
      <c r="Q86" s="60"/>
      <c r="R86" s="60"/>
      <c r="S86" s="3"/>
      <c r="U86" s="19"/>
      <c r="V86" s="19"/>
      <c r="W86" s="19"/>
      <c r="X86" s="19"/>
      <c r="Y86" s="7"/>
    </row>
    <row r="87" spans="1:25" ht="12.75">
      <c r="A87" s="187" t="s">
        <v>28</v>
      </c>
      <c r="B87" s="90"/>
      <c r="C87" s="182" t="e">
        <f>IF(ImperialC=1,2,IF(Sheet1!E15="WIDTH",2*C48,IF(OR(C41="YES",C42="YES"),H41,IF(H46=1,2*B77+2*B79,B77*2))))</f>
        <v>#DIV/0!</v>
      </c>
      <c r="D87" s="113" t="s">
        <v>25</v>
      </c>
      <c r="E87" s="90"/>
      <c r="F87" s="121"/>
      <c r="G87" s="188"/>
      <c r="H87" s="60"/>
      <c r="I87" s="60"/>
      <c r="J87" s="74"/>
      <c r="K87" s="187" t="s">
        <v>28</v>
      </c>
      <c r="L87" s="90"/>
      <c r="M87" s="182">
        <f>IF(MetricC=1,2,IF(Sheet1!E15="WIDTH",2*M48,IF(OR(M41="YES",M42="YES"),R41,IF(R46=1,2*L77+2*L79,L77*2))))</f>
        <v>4</v>
      </c>
      <c r="N87" s="113" t="s">
        <v>25</v>
      </c>
      <c r="O87" s="90"/>
      <c r="P87" s="121"/>
      <c r="Q87" s="188"/>
      <c r="R87" s="60"/>
      <c r="S87" s="3"/>
      <c r="U87" s="23"/>
      <c r="V87" s="4"/>
      <c r="W87" s="20"/>
      <c r="X87" s="21"/>
      <c r="Y87" s="4"/>
    </row>
    <row r="88" spans="1:25" ht="12.75">
      <c r="A88" s="113"/>
      <c r="B88" s="113"/>
      <c r="C88" s="189"/>
      <c r="D88" s="113"/>
      <c r="E88" s="90"/>
      <c r="F88" s="121"/>
      <c r="G88" s="188"/>
      <c r="H88" s="74"/>
      <c r="I88" s="74"/>
      <c r="J88" s="74"/>
      <c r="K88" s="113"/>
      <c r="L88" s="113"/>
      <c r="M88" s="189"/>
      <c r="N88" s="113"/>
      <c r="O88" s="90"/>
      <c r="P88" s="121"/>
      <c r="Q88" s="188"/>
      <c r="R88" s="74"/>
      <c r="U88" s="21"/>
      <c r="V88" s="36"/>
      <c r="W88" s="49"/>
      <c r="X88" s="21"/>
      <c r="Y88" s="36"/>
    </row>
    <row r="89" spans="1:25" ht="12.75">
      <c r="A89" s="190" t="s">
        <v>24</v>
      </c>
      <c r="B89" s="190"/>
      <c r="C89" s="190"/>
      <c r="D89" s="190"/>
      <c r="E89" s="121"/>
      <c r="F89" s="121"/>
      <c r="G89" s="188"/>
      <c r="H89" s="60"/>
      <c r="I89" s="74"/>
      <c r="J89" s="74"/>
      <c r="K89" s="190" t="s">
        <v>24</v>
      </c>
      <c r="L89" s="190"/>
      <c r="M89" s="190"/>
      <c r="N89" s="190"/>
      <c r="O89" s="121"/>
      <c r="P89" s="121"/>
      <c r="Q89" s="188"/>
      <c r="R89" s="60"/>
      <c r="U89" s="21"/>
      <c r="V89" s="36"/>
      <c r="W89" s="49"/>
      <c r="X89" s="21"/>
      <c r="Y89" s="36"/>
    </row>
    <row r="90" spans="1:25" ht="12.75">
      <c r="A90" s="191"/>
      <c r="B90" s="192" t="s">
        <v>31</v>
      </c>
      <c r="C90" s="193" t="e">
        <f>IF(ControlD="WIDTH",(B67+B68)*9.083+1.25,((B77+B78)*9.083+1.25))</f>
        <v>#DIV/0!</v>
      </c>
      <c r="D90" s="194" t="s">
        <v>30</v>
      </c>
      <c r="E90" s="86"/>
      <c r="F90" s="121"/>
      <c r="G90" s="188"/>
      <c r="H90" s="60"/>
      <c r="I90" s="74"/>
      <c r="J90" s="74"/>
      <c r="K90" s="191"/>
      <c r="L90" s="192" t="s">
        <v>31</v>
      </c>
      <c r="M90" s="193">
        <f>IF(ControlD="WIDTH",(L67+L68)*2.769+0.381,((L77+L78)*2.769+0.381))</f>
        <v>5.9190000000000005</v>
      </c>
      <c r="N90" s="194" t="s">
        <v>83</v>
      </c>
      <c r="O90" s="86"/>
      <c r="P90" s="121"/>
      <c r="Q90" s="188"/>
      <c r="R90" s="60"/>
      <c r="U90" s="11"/>
      <c r="V90" s="36"/>
      <c r="W90" s="37"/>
      <c r="X90" s="21"/>
      <c r="Y90" s="36"/>
    </row>
    <row r="91" spans="1:25" ht="12.75">
      <c r="A91" s="194"/>
      <c r="B91" s="195" t="s">
        <v>32</v>
      </c>
      <c r="C91" s="196" t="e">
        <f>IF(ControlD="WIDTH",D67*4.025+2*3.5583,D77*4.025+2*3.5583)</f>
        <v>#DIV/0!</v>
      </c>
      <c r="D91" s="194" t="s">
        <v>30</v>
      </c>
      <c r="E91" s="197"/>
      <c r="F91" s="121"/>
      <c r="G91" s="188"/>
      <c r="H91" s="60"/>
      <c r="I91" s="74"/>
      <c r="J91" s="74"/>
      <c r="K91" s="194"/>
      <c r="L91" s="195" t="s">
        <v>32</v>
      </c>
      <c r="M91" s="196">
        <f>IF(ControlD="WIDTH",N67*1.227+2*1.085,N77*1.227+2*1.085)</f>
        <v>14.440000000000001</v>
      </c>
      <c r="N91" s="194" t="s">
        <v>83</v>
      </c>
      <c r="O91" s="197"/>
      <c r="P91" s="121"/>
      <c r="Q91" s="188"/>
      <c r="R91" s="60"/>
      <c r="U91" s="50"/>
      <c r="V91" s="36"/>
      <c r="W91" s="20"/>
      <c r="X91" s="21"/>
      <c r="Y91" s="36"/>
    </row>
    <row r="92" spans="1:25" ht="12.75">
      <c r="A92" s="194"/>
      <c r="B92" s="195" t="s">
        <v>33</v>
      </c>
      <c r="C92" s="196" t="e">
        <f>IF(ControlD="WIDTH",D68*4.025+2*2.5583,D78*4.025+2*2.5583)</f>
        <v>#DIV/0!</v>
      </c>
      <c r="D92" s="194" t="s">
        <v>30</v>
      </c>
      <c r="E92" s="197"/>
      <c r="F92" s="121"/>
      <c r="G92" s="188"/>
      <c r="H92" s="60"/>
      <c r="I92" s="74"/>
      <c r="J92" s="74"/>
      <c r="K92" s="194"/>
      <c r="L92" s="195" t="s">
        <v>33</v>
      </c>
      <c r="M92" s="196">
        <f>IF(ControlD="WIDTH",N68*1.227+2*0.78,N78*1.227+2*0.78)</f>
        <v>1.56</v>
      </c>
      <c r="N92" s="194" t="s">
        <v>83</v>
      </c>
      <c r="O92" s="197"/>
      <c r="P92" s="121"/>
      <c r="Q92" s="188"/>
      <c r="R92" s="60"/>
      <c r="U92" s="23"/>
      <c r="V92" s="4"/>
      <c r="W92" s="9"/>
      <c r="X92" s="21"/>
      <c r="Y92" s="4"/>
    </row>
    <row r="93" spans="1:25" ht="12.75">
      <c r="A93" s="198"/>
      <c r="B93" s="195" t="s">
        <v>34</v>
      </c>
      <c r="C93" s="199" t="e">
        <f>IF(ControlD="WIDTH",B67*9.083+1.25,B77*9.083+1.25)</f>
        <v>#DIV/0!</v>
      </c>
      <c r="D93" s="194" t="s">
        <v>30</v>
      </c>
      <c r="E93" s="197"/>
      <c r="F93" s="121"/>
      <c r="G93" s="188"/>
      <c r="H93" s="60"/>
      <c r="I93" s="74"/>
      <c r="J93" s="74"/>
      <c r="K93" s="198"/>
      <c r="L93" s="195" t="s">
        <v>34</v>
      </c>
      <c r="M93" s="199">
        <f>IF(ControlD="WIDTH",L67*2.769+0.381,L77*2.769+0.381)</f>
        <v>5.9190000000000005</v>
      </c>
      <c r="N93" s="194" t="s">
        <v>83</v>
      </c>
      <c r="O93" s="197"/>
      <c r="P93" s="121"/>
      <c r="Q93" s="188"/>
      <c r="R93" s="60"/>
      <c r="U93" s="21"/>
      <c r="V93" s="7"/>
      <c r="W93" s="9"/>
      <c r="X93" s="21"/>
      <c r="Y93" s="7"/>
    </row>
    <row r="94" spans="1:25" ht="12.75">
      <c r="A94" s="200"/>
      <c r="B94" s="197" t="s">
        <v>80</v>
      </c>
      <c r="C94" s="201" t="e">
        <f>C90-C93</f>
        <v>#DIV/0!</v>
      </c>
      <c r="D94" s="202" t="s">
        <v>30</v>
      </c>
      <c r="E94" s="197"/>
      <c r="F94" s="203"/>
      <c r="G94" s="204"/>
      <c r="H94" s="60"/>
      <c r="I94" s="74"/>
      <c r="J94" s="74"/>
      <c r="K94" s="200"/>
      <c r="L94" s="197" t="s">
        <v>80</v>
      </c>
      <c r="M94" s="201">
        <f>M90-M93</f>
        <v>0</v>
      </c>
      <c r="N94" s="202" t="s">
        <v>83</v>
      </c>
      <c r="O94" s="197"/>
      <c r="P94" s="203"/>
      <c r="Q94" s="204"/>
      <c r="R94" s="60"/>
      <c r="U94" s="21"/>
      <c r="V94" s="4"/>
      <c r="W94" s="30"/>
      <c r="X94" s="21"/>
      <c r="Y94" s="4"/>
    </row>
    <row r="95" spans="1:25" ht="12.75">
      <c r="A95" s="205"/>
      <c r="B95" s="86" t="s">
        <v>81</v>
      </c>
      <c r="C95" s="65" t="e">
        <f>C91-C92</f>
        <v>#DIV/0!</v>
      </c>
      <c r="D95" s="202" t="s">
        <v>30</v>
      </c>
      <c r="E95" s="86"/>
      <c r="F95" s="116"/>
      <c r="G95" s="188"/>
      <c r="H95" s="60"/>
      <c r="I95" s="74"/>
      <c r="J95" s="74"/>
      <c r="K95" s="205"/>
      <c r="L95" s="86" t="s">
        <v>81</v>
      </c>
      <c r="M95" s="65">
        <f>M91-M92</f>
        <v>12.88</v>
      </c>
      <c r="N95" s="202" t="s">
        <v>83</v>
      </c>
      <c r="O95" s="86"/>
      <c r="P95" s="116"/>
      <c r="Q95" s="188"/>
      <c r="R95" s="60"/>
      <c r="U95" s="21"/>
      <c r="V95" s="4"/>
      <c r="W95" s="9"/>
      <c r="X95" s="21"/>
      <c r="Y95" s="4"/>
    </row>
    <row r="96" spans="1:25" ht="12.75">
      <c r="A96" s="202"/>
      <c r="B96" s="121"/>
      <c r="C96" s="65"/>
      <c r="D96" s="202"/>
      <c r="E96" s="121"/>
      <c r="F96" s="121"/>
      <c r="G96" s="188"/>
      <c r="H96" s="60"/>
      <c r="I96" s="74"/>
      <c r="J96" s="74"/>
      <c r="K96" s="202"/>
      <c r="L96" s="121"/>
      <c r="M96" s="65"/>
      <c r="N96" s="202"/>
      <c r="O96" s="121"/>
      <c r="P96" s="121"/>
      <c r="Q96" s="188"/>
      <c r="R96" s="60"/>
      <c r="U96" s="29"/>
      <c r="V96" s="22"/>
      <c r="W96" s="28"/>
      <c r="X96" s="29"/>
      <c r="Y96" s="7"/>
    </row>
    <row r="97" spans="1:25" ht="12.75">
      <c r="A97" s="202"/>
      <c r="B97" s="86" t="s">
        <v>35</v>
      </c>
      <c r="C97" s="63" t="e">
        <f>IF(ControlD="WIDTH",IF(F53=0,C90*C91,C90*C91-C94*C95),IF(E74=0,C90*C91,C90*C91-C94*C95))</f>
        <v>#DIV/0!</v>
      </c>
      <c r="D97" s="202" t="s">
        <v>36</v>
      </c>
      <c r="E97" s="86"/>
      <c r="F97" s="206"/>
      <c r="G97" s="188"/>
      <c r="H97" s="60"/>
      <c r="I97" s="74"/>
      <c r="J97" s="74"/>
      <c r="K97" s="202"/>
      <c r="L97" s="86" t="s">
        <v>35</v>
      </c>
      <c r="M97" s="63">
        <f>IF(ControlD="WIDTH",IF(P53=0,M90*M91,M90*M91-M94*M95),IF(O74=0,M90*M91,M90*M91-M94*M95))</f>
        <v>85.47036000000001</v>
      </c>
      <c r="N97" s="202" t="s">
        <v>85</v>
      </c>
      <c r="O97" s="86"/>
      <c r="P97" s="206"/>
      <c r="Q97" s="188"/>
      <c r="R97" s="60"/>
      <c r="U97" s="3"/>
      <c r="V97" s="29"/>
      <c r="W97" s="22"/>
      <c r="X97" s="30"/>
      <c r="Y97" s="10"/>
    </row>
    <row r="98" spans="1:25" ht="12.75">
      <c r="A98" s="202"/>
      <c r="B98" s="86" t="s">
        <v>37</v>
      </c>
      <c r="C98" s="65" t="e">
        <f>IF(ControlD="WIDTH",IF(E64=0,(2*C90+2*C91),(C90+C91+C92+C93+C94+C95)),IF(ControlD="LENGTH",IF(E74=0,2*C90+2*C91,(C90+C91+C92+C93+C94+C95))))</f>
        <v>#DIV/0!</v>
      </c>
      <c r="D98" s="202" t="s">
        <v>30</v>
      </c>
      <c r="E98" s="86"/>
      <c r="F98" s="206"/>
      <c r="G98" s="188"/>
      <c r="H98" s="60"/>
      <c r="I98" s="74"/>
      <c r="J98" s="74"/>
      <c r="K98" s="202"/>
      <c r="L98" s="86" t="s">
        <v>37</v>
      </c>
      <c r="M98" s="65">
        <f>IF(ControlD="WIDTH",IF(O64=0,(2*M90+2*M91),(M90+M91+M92+M93+M94+M95)),IF(ControlD="LENGTH",IF(O74=0,2*M90+2*M91,(M90+M91+M92+M93+M94+M95))))</f>
        <v>40.718</v>
      </c>
      <c r="N98" s="202" t="s">
        <v>83</v>
      </c>
      <c r="O98" s="86"/>
      <c r="P98" s="206"/>
      <c r="Q98" s="188"/>
      <c r="R98" s="60"/>
      <c r="U98" s="29"/>
      <c r="V98" s="38"/>
      <c r="W98" s="28"/>
      <c r="X98" s="39"/>
      <c r="Y98" s="7"/>
    </row>
    <row r="99" spans="1:25" ht="12.75">
      <c r="A99" s="120"/>
      <c r="B99" s="207"/>
      <c r="C99" s="188"/>
      <c r="D99" s="120"/>
      <c r="E99" s="121"/>
      <c r="F99" s="206"/>
      <c r="G99" s="188"/>
      <c r="H99" s="60"/>
      <c r="I99" s="74"/>
      <c r="J99" s="74"/>
      <c r="K99" s="120"/>
      <c r="L99" s="207"/>
      <c r="M99" s="188"/>
      <c r="N99" s="120"/>
      <c r="O99" s="121"/>
      <c r="P99" s="206"/>
      <c r="Q99" s="188"/>
      <c r="R99" s="60"/>
      <c r="U99" s="29"/>
      <c r="V99" s="38"/>
      <c r="W99" s="40"/>
      <c r="X99" s="41"/>
      <c r="Y99" s="7"/>
    </row>
    <row r="100" spans="1:25" ht="12.75">
      <c r="A100" s="60"/>
      <c r="B100" s="120" t="s">
        <v>39</v>
      </c>
      <c r="C100" s="207"/>
      <c r="D100" s="63" t="e">
        <f>C97</f>
        <v>#DIV/0!</v>
      </c>
      <c r="E100" s="208" t="s">
        <v>36</v>
      </c>
      <c r="F100" s="206"/>
      <c r="G100" s="188"/>
      <c r="H100" s="60"/>
      <c r="I100" s="74"/>
      <c r="J100" s="74"/>
      <c r="K100" s="60"/>
      <c r="L100" s="120" t="s">
        <v>39</v>
      </c>
      <c r="M100" s="207"/>
      <c r="N100" s="63">
        <f>M97</f>
        <v>85.47036000000001</v>
      </c>
      <c r="O100" s="208" t="s">
        <v>85</v>
      </c>
      <c r="P100" s="206"/>
      <c r="Q100" s="188"/>
      <c r="R100" s="60"/>
      <c r="U100" s="29"/>
      <c r="V100" s="3"/>
      <c r="W100" s="3"/>
      <c r="X100" s="2"/>
      <c r="Y100" s="8"/>
    </row>
    <row r="101" spans="1:25" ht="12.75">
      <c r="A101" s="120"/>
      <c r="B101" s="209" t="s">
        <v>40</v>
      </c>
      <c r="C101" s="188"/>
      <c r="D101" s="210" t="e">
        <f>C98</f>
        <v>#DIV/0!</v>
      </c>
      <c r="E101" s="121" t="s">
        <v>41</v>
      </c>
      <c r="F101" s="206"/>
      <c r="G101" s="188"/>
      <c r="H101" s="60"/>
      <c r="I101" s="74"/>
      <c r="J101" s="74"/>
      <c r="K101" s="120"/>
      <c r="L101" s="209" t="s">
        <v>40</v>
      </c>
      <c r="M101" s="188"/>
      <c r="N101" s="210">
        <f>M98</f>
        <v>40.718</v>
      </c>
      <c r="O101" s="121" t="s">
        <v>83</v>
      </c>
      <c r="P101" s="206"/>
      <c r="Q101" s="188"/>
      <c r="R101" s="60"/>
      <c r="U101" s="29"/>
      <c r="V101" s="3"/>
      <c r="W101" s="3"/>
      <c r="X101" s="2"/>
      <c r="Y101" s="8"/>
    </row>
    <row r="102" spans="1:25" ht="12.75">
      <c r="A102" s="120"/>
      <c r="B102" s="209" t="s">
        <v>42</v>
      </c>
      <c r="C102" s="211"/>
      <c r="D102" s="212" t="e">
        <f>C91</f>
        <v>#DIV/0!</v>
      </c>
      <c r="E102" s="121" t="s">
        <v>43</v>
      </c>
      <c r="F102" s="206"/>
      <c r="G102" s="188"/>
      <c r="H102" s="60"/>
      <c r="I102" s="74"/>
      <c r="J102" s="74"/>
      <c r="K102" s="120"/>
      <c r="L102" s="209" t="s">
        <v>42</v>
      </c>
      <c r="M102" s="211"/>
      <c r="N102" s="212">
        <f>M91</f>
        <v>14.440000000000001</v>
      </c>
      <c r="O102" s="121" t="s">
        <v>83</v>
      </c>
      <c r="P102" s="206"/>
      <c r="Q102" s="188"/>
      <c r="R102" s="60"/>
      <c r="U102" s="29"/>
      <c r="V102" s="3"/>
      <c r="W102" s="3"/>
      <c r="X102" s="3"/>
      <c r="Y102" s="3"/>
    </row>
    <row r="103" spans="1:25" ht="12.75">
      <c r="A103" s="120"/>
      <c r="B103" s="60"/>
      <c r="C103" s="60"/>
      <c r="D103" s="60"/>
      <c r="E103" s="60"/>
      <c r="F103" s="206"/>
      <c r="G103" s="188"/>
      <c r="H103" s="120"/>
      <c r="I103" s="74"/>
      <c r="J103" s="74"/>
      <c r="K103" s="120"/>
      <c r="L103" s="60"/>
      <c r="M103" s="60"/>
      <c r="N103" s="60"/>
      <c r="O103" s="60"/>
      <c r="P103" s="206"/>
      <c r="Q103" s="188"/>
      <c r="R103" s="120"/>
      <c r="U103" s="3"/>
      <c r="V103" s="3"/>
      <c r="W103" s="3"/>
      <c r="X103" s="3"/>
      <c r="Y103" s="3"/>
    </row>
    <row r="104" spans="1:25" ht="12.75">
      <c r="A104" s="120"/>
      <c r="B104" s="213" t="s">
        <v>76</v>
      </c>
      <c r="C104" s="214"/>
      <c r="D104" s="215" t="e">
        <f>C91</f>
        <v>#DIV/0!</v>
      </c>
      <c r="E104" s="153" t="s">
        <v>43</v>
      </c>
      <c r="F104" s="206"/>
      <c r="G104" s="188"/>
      <c r="H104" s="120"/>
      <c r="I104" s="74"/>
      <c r="J104" s="74"/>
      <c r="K104" s="120"/>
      <c r="L104" s="213" t="s">
        <v>76</v>
      </c>
      <c r="M104" s="214"/>
      <c r="N104" s="215">
        <f>M91</f>
        <v>14.440000000000001</v>
      </c>
      <c r="O104" s="153" t="s">
        <v>83</v>
      </c>
      <c r="P104" s="206"/>
      <c r="Q104" s="188"/>
      <c r="R104" s="120"/>
      <c r="U104" s="3"/>
      <c r="V104" s="3"/>
      <c r="W104" s="3"/>
      <c r="X104" s="3"/>
      <c r="Y104" s="3"/>
    </row>
    <row r="105" spans="1:25" ht="12.75">
      <c r="A105" s="120"/>
      <c r="B105" s="213" t="s">
        <v>77</v>
      </c>
      <c r="C105" s="214"/>
      <c r="D105" s="215" t="e">
        <f>C90</f>
        <v>#DIV/0!</v>
      </c>
      <c r="E105" s="153" t="s">
        <v>43</v>
      </c>
      <c r="F105" s="206"/>
      <c r="G105" s="188"/>
      <c r="H105" s="120"/>
      <c r="I105" s="74"/>
      <c r="J105" s="74"/>
      <c r="K105" s="120"/>
      <c r="L105" s="213" t="s">
        <v>77</v>
      </c>
      <c r="M105" s="214"/>
      <c r="N105" s="215">
        <f>M90</f>
        <v>5.9190000000000005</v>
      </c>
      <c r="O105" s="153" t="s">
        <v>83</v>
      </c>
      <c r="P105" s="206"/>
      <c r="Q105" s="188"/>
      <c r="R105" s="120"/>
      <c r="U105" s="3"/>
      <c r="V105" s="3"/>
      <c r="W105" s="3"/>
      <c r="X105" s="3"/>
      <c r="Y105" s="3"/>
    </row>
    <row r="106" spans="1:25" ht="12.75">
      <c r="A106" s="44"/>
      <c r="B106" s="42"/>
      <c r="C106" s="35"/>
      <c r="D106" s="44"/>
      <c r="E106" s="42"/>
      <c r="F106" s="43"/>
      <c r="G106" s="28"/>
      <c r="H106" s="29"/>
      <c r="K106" s="110"/>
      <c r="L106" s="110"/>
      <c r="M106" s="110"/>
      <c r="N106" s="8"/>
      <c r="O106" s="8"/>
      <c r="P106" s="8"/>
      <c r="Q106" s="8"/>
      <c r="R106" s="8"/>
      <c r="S106" s="8"/>
      <c r="T106" s="3"/>
      <c r="U106" s="3"/>
      <c r="V106" s="3"/>
      <c r="W106" s="3"/>
      <c r="X106" s="3"/>
      <c r="Y106" s="3"/>
    </row>
    <row r="107" spans="1:25" ht="12.75">
      <c r="A107" s="44"/>
      <c r="B107" s="42"/>
      <c r="C107" s="56"/>
      <c r="D107" s="44"/>
      <c r="E107" s="53"/>
      <c r="F107" s="3"/>
      <c r="G107" s="54"/>
      <c r="H107" s="53"/>
      <c r="J107" s="54"/>
      <c r="K107" s="109"/>
      <c r="L107" s="8"/>
      <c r="M107" s="8"/>
      <c r="N107" s="8"/>
      <c r="O107" s="8"/>
      <c r="P107" s="8"/>
      <c r="Q107" s="8"/>
      <c r="R107" s="8"/>
      <c r="S107" s="8"/>
      <c r="T107" s="3"/>
      <c r="U107" s="3"/>
      <c r="V107" s="3"/>
      <c r="W107" s="3"/>
      <c r="X107" s="3"/>
      <c r="Y107" s="3"/>
    </row>
    <row r="108" spans="1:25" ht="12.75">
      <c r="A108" s="44"/>
      <c r="B108" s="42"/>
      <c r="C108" s="57"/>
      <c r="D108" s="44"/>
      <c r="E108" s="55"/>
      <c r="G108" s="55"/>
      <c r="H108" s="55"/>
      <c r="J108" s="55"/>
      <c r="K108" s="28"/>
      <c r="L108" s="8"/>
      <c r="M108" s="8"/>
      <c r="N108" s="8"/>
      <c r="O108" s="8"/>
      <c r="P108" s="8"/>
      <c r="Q108" s="8"/>
      <c r="R108" s="8"/>
      <c r="S108" s="8"/>
      <c r="T108" s="3"/>
      <c r="U108" s="3"/>
      <c r="V108" s="3"/>
      <c r="W108" s="3"/>
      <c r="X108" s="3"/>
      <c r="Y108" s="3"/>
    </row>
    <row r="109" spans="1:25" ht="12.75">
      <c r="A109" s="44"/>
      <c r="B109" s="42"/>
      <c r="C109" s="57"/>
      <c r="D109" s="44"/>
      <c r="E109" s="55"/>
      <c r="G109" s="55"/>
      <c r="H109" s="55"/>
      <c r="J109" s="55"/>
      <c r="K109" s="110"/>
      <c r="L109" s="110"/>
      <c r="M109" s="110"/>
      <c r="N109" s="8"/>
      <c r="O109" s="8"/>
      <c r="P109" s="8"/>
      <c r="Q109" s="8"/>
      <c r="R109" s="8"/>
      <c r="S109" s="8"/>
      <c r="T109" s="3"/>
      <c r="U109" s="3"/>
      <c r="V109" s="3"/>
      <c r="W109" s="3"/>
      <c r="X109" s="3"/>
      <c r="Y109" s="3"/>
    </row>
    <row r="110" spans="1:25" ht="12.75">
      <c r="A110" s="44"/>
      <c r="B110" s="42"/>
      <c r="C110" s="57"/>
      <c r="D110" s="44"/>
      <c r="E110" s="55"/>
      <c r="G110" s="55"/>
      <c r="H110" s="55"/>
      <c r="J110" s="55"/>
      <c r="K110" s="110"/>
      <c r="L110" s="110"/>
      <c r="M110" s="110"/>
      <c r="N110" s="8"/>
      <c r="O110" s="8"/>
      <c r="P110" s="8"/>
      <c r="Q110" s="8"/>
      <c r="R110" s="8"/>
      <c r="S110" s="8"/>
      <c r="T110" s="3"/>
      <c r="U110" s="3"/>
      <c r="V110" s="3"/>
      <c r="W110" s="3"/>
      <c r="X110" s="3"/>
      <c r="Y110" s="3"/>
    </row>
    <row r="111" spans="1:25" ht="12.75">
      <c r="A111" s="44"/>
      <c r="B111" s="42"/>
      <c r="C111" s="57"/>
      <c r="D111" s="44"/>
      <c r="E111" s="55"/>
      <c r="G111" s="55"/>
      <c r="H111" s="55"/>
      <c r="J111" s="55"/>
      <c r="K111" s="28"/>
      <c r="L111" s="8"/>
      <c r="M111" s="8"/>
      <c r="N111" s="8"/>
      <c r="O111" s="8"/>
      <c r="P111" s="8"/>
      <c r="Q111" s="8"/>
      <c r="R111" s="8"/>
      <c r="S111" s="8"/>
      <c r="T111" s="3"/>
      <c r="U111" s="3"/>
      <c r="V111" s="3"/>
      <c r="W111" s="3"/>
      <c r="X111" s="3"/>
      <c r="Y111" s="3"/>
    </row>
    <row r="112" spans="1:25" ht="12.75">
      <c r="A112" s="44"/>
      <c r="B112" s="42"/>
      <c r="C112" s="57"/>
      <c r="D112" s="57"/>
      <c r="E112" s="55"/>
      <c r="G112" s="55"/>
      <c r="H112" s="55"/>
      <c r="J112" s="55"/>
      <c r="K112" s="29"/>
      <c r="L112" s="7"/>
      <c r="M112" s="7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>
      <c r="A113" s="44"/>
      <c r="B113" s="42"/>
      <c r="C113" s="57"/>
      <c r="D113" s="57"/>
      <c r="E113" s="55"/>
      <c r="G113" s="55"/>
      <c r="H113" s="55"/>
      <c r="J113" s="55"/>
      <c r="K113" s="29"/>
      <c r="L113" s="7"/>
      <c r="M113" s="7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>
      <c r="A114" s="44"/>
      <c r="B114" s="42"/>
      <c r="C114" s="57"/>
      <c r="D114" s="57"/>
      <c r="E114" s="55"/>
      <c r="G114" s="55"/>
      <c r="H114" s="55"/>
      <c r="J114" s="55"/>
      <c r="K114" s="29"/>
      <c r="L114" s="7"/>
      <c r="M114" s="7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>
      <c r="A115" s="45"/>
      <c r="B115" s="46"/>
      <c r="C115" s="57"/>
      <c r="D115" s="57"/>
      <c r="E115" s="55"/>
      <c r="G115" s="55"/>
      <c r="H115" s="55"/>
      <c r="J115" s="55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44"/>
      <c r="B116" s="47"/>
      <c r="C116" s="57"/>
      <c r="D116" s="57"/>
      <c r="E116" s="55"/>
      <c r="G116" s="55"/>
      <c r="H116" s="55"/>
      <c r="J116" s="55"/>
      <c r="K116" s="1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>
      <c r="A117" s="44"/>
      <c r="B117" s="48"/>
      <c r="C117" s="57"/>
      <c r="D117" s="57"/>
      <c r="E117" s="55"/>
      <c r="G117" s="55"/>
      <c r="H117" s="55"/>
      <c r="J117" s="55"/>
      <c r="K117" s="1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>
      <c r="A118" s="44"/>
      <c r="B118" s="48"/>
      <c r="C118" s="57"/>
      <c r="D118" s="57"/>
      <c r="E118" s="55"/>
      <c r="G118" s="55"/>
      <c r="H118" s="55"/>
      <c r="J118" s="55"/>
      <c r="K118" s="1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>
      <c r="A119" s="48"/>
      <c r="B119" s="48"/>
      <c r="C119" s="57"/>
      <c r="D119" s="57"/>
      <c r="E119" s="55"/>
      <c r="G119" s="55"/>
      <c r="H119" s="55"/>
      <c r="J119" s="55"/>
      <c r="K119" s="1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>
      <c r="A120" s="48"/>
      <c r="B120" s="48"/>
      <c r="C120" s="57"/>
      <c r="D120" s="57"/>
      <c r="E120" s="55"/>
      <c r="G120" s="55"/>
      <c r="H120" s="55"/>
      <c r="J120" s="55"/>
      <c r="K120" s="1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>
      <c r="A121" s="48"/>
      <c r="B121" s="48"/>
      <c r="C121" s="57"/>
      <c r="D121" s="57"/>
      <c r="E121" s="55"/>
      <c r="G121" s="55"/>
      <c r="H121" s="55"/>
      <c r="J121" s="55"/>
      <c r="K121" s="1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>
      <c r="A122" s="48"/>
      <c r="B122" s="48"/>
      <c r="C122" s="57"/>
      <c r="D122" s="57"/>
      <c r="E122" s="55"/>
      <c r="G122" s="55"/>
      <c r="H122" s="55"/>
      <c r="J122" s="55"/>
      <c r="K122" s="1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>
      <c r="A123" s="48"/>
      <c r="B123" s="48"/>
      <c r="C123" s="57"/>
      <c r="D123" s="57"/>
      <c r="E123" s="55"/>
      <c r="G123" s="55"/>
      <c r="H123" s="55"/>
      <c r="J123" s="55"/>
      <c r="K123" s="1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3:25" ht="12.75">
      <c r="C124" s="57"/>
      <c r="D124" s="57"/>
      <c r="E124" s="55"/>
      <c r="G124" s="55"/>
      <c r="H124" s="55"/>
      <c r="J124" s="55"/>
      <c r="K124" s="1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>
      <c r="A125" s="11"/>
      <c r="B125" s="7"/>
      <c r="C125" s="57"/>
      <c r="D125" s="57"/>
      <c r="E125" s="55"/>
      <c r="G125" s="55"/>
      <c r="H125" s="55"/>
      <c r="J125" s="55"/>
      <c r="K125" s="1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>
      <c r="A126" s="11"/>
      <c r="B126" s="7"/>
      <c r="C126" s="57"/>
      <c r="D126" s="57"/>
      <c r="E126" s="55"/>
      <c r="G126" s="55"/>
      <c r="H126" s="55"/>
      <c r="J126" s="55"/>
      <c r="K126" s="1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>
      <c r="A127" s="8"/>
      <c r="B127" s="13"/>
      <c r="C127" s="57"/>
      <c r="D127" s="57"/>
      <c r="E127" s="55"/>
      <c r="G127" s="55"/>
      <c r="H127" s="55"/>
      <c r="J127" s="55"/>
      <c r="K127" s="1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>
      <c r="A128" s="4"/>
      <c r="B128" s="4"/>
      <c r="C128" s="57"/>
      <c r="D128" s="57"/>
      <c r="E128" s="55"/>
      <c r="G128" s="55"/>
      <c r="H128" s="55"/>
      <c r="J128" s="55"/>
      <c r="K128" s="1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>
      <c r="A129" s="10"/>
      <c r="B129" s="4"/>
      <c r="C129" s="57"/>
      <c r="D129" s="57"/>
      <c r="E129" s="55"/>
      <c r="G129" s="55"/>
      <c r="H129" s="55"/>
      <c r="J129" s="55"/>
      <c r="K129" s="1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>
      <c r="A130" s="26"/>
      <c r="B130" s="27"/>
      <c r="C130" s="57"/>
      <c r="D130" s="57"/>
      <c r="E130" s="55"/>
      <c r="G130" s="55"/>
      <c r="H130" s="55"/>
      <c r="J130" s="55"/>
      <c r="K130" s="1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>
      <c r="A131" s="4"/>
      <c r="B131" s="4"/>
      <c r="C131" s="57"/>
      <c r="D131" s="57"/>
      <c r="E131" s="55"/>
      <c r="G131" s="55"/>
      <c r="H131" s="55"/>
      <c r="J131" s="55"/>
      <c r="K131" s="1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>
      <c r="A132" s="4"/>
      <c r="B132" s="4"/>
      <c r="C132" s="57"/>
      <c r="D132" s="57"/>
      <c r="E132" s="55"/>
      <c r="G132" s="55"/>
      <c r="H132" s="55"/>
      <c r="J132" s="55"/>
      <c r="K132" s="1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>
      <c r="A133" s="8"/>
      <c r="B133" s="7"/>
      <c r="C133" s="57"/>
      <c r="D133" s="57"/>
      <c r="E133" s="8"/>
      <c r="G133" s="2"/>
      <c r="H133" s="7"/>
      <c r="J133" s="7"/>
      <c r="K133" s="1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>
      <c r="A134" s="8"/>
      <c r="B134" s="7"/>
      <c r="C134" s="57"/>
      <c r="D134" s="57"/>
      <c r="E134" s="8"/>
      <c r="G134" s="2"/>
      <c r="H134" s="8"/>
      <c r="J134" s="7"/>
      <c r="K134" s="1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>
      <c r="A135" s="8"/>
      <c r="B135" s="6"/>
      <c r="C135" s="57"/>
      <c r="D135" s="57"/>
      <c r="E135" s="7"/>
      <c r="G135" s="7"/>
      <c r="H135" s="7"/>
      <c r="J135" s="7"/>
      <c r="K135" s="1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24"/>
      <c r="B136" s="13"/>
      <c r="C136" s="2"/>
      <c r="D136" s="58"/>
      <c r="E136" s="7"/>
      <c r="G136" s="7"/>
      <c r="H136" s="7"/>
      <c r="I136" s="7"/>
      <c r="J136" s="13"/>
      <c r="K136" s="1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>
      <c r="A137" s="10"/>
      <c r="B137" s="4"/>
      <c r="C137" s="12"/>
      <c r="D137" s="8"/>
      <c r="E137" s="7"/>
      <c r="F137" s="4"/>
      <c r="G137" s="12"/>
      <c r="H137" s="8"/>
      <c r="I137" s="7"/>
      <c r="J137" s="13"/>
      <c r="K137" s="1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>
      <c r="A138" s="10"/>
      <c r="B138" s="4"/>
      <c r="C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>
      <c r="A139" s="10"/>
      <c r="B139" s="7"/>
      <c r="C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>
      <c r="A140" s="24"/>
      <c r="B140" s="13"/>
      <c r="C140" s="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>
      <c r="A141" s="25"/>
      <c r="B141" s="7"/>
      <c r="C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>
      <c r="A142" s="10"/>
      <c r="B142" s="7"/>
      <c r="C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>
      <c r="A143" s="10"/>
      <c r="B143" s="7"/>
      <c r="C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>
      <c r="A144" s="10"/>
      <c r="B144" s="7"/>
      <c r="C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>
      <c r="A145" s="10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>
      <c r="A146" s="10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>
      <c r="A147" s="28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>
      <c r="A148" s="28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>
      <c r="A149" s="7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>
      <c r="A150" s="1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>
      <c r="A151" s="7"/>
    </row>
    <row r="152" ht="12.75">
      <c r="A152" s="7"/>
    </row>
    <row r="153" ht="12.75">
      <c r="A153" s="4"/>
    </row>
    <row r="154" ht="12.75">
      <c r="A154" s="13"/>
    </row>
    <row r="160" spans="3:9" ht="12.75">
      <c r="C160" s="2"/>
      <c r="F160" s="3"/>
      <c r="G160" s="3"/>
      <c r="H160" s="3"/>
      <c r="I160" s="3"/>
    </row>
    <row r="161" spans="3:9" ht="12.75">
      <c r="C161" s="2"/>
      <c r="F161" s="3"/>
      <c r="G161" s="3"/>
      <c r="H161" s="3"/>
      <c r="I161" s="3"/>
    </row>
    <row r="162" spans="3:9" ht="12.75">
      <c r="C162" s="2"/>
      <c r="F162" s="3"/>
      <c r="G162" s="3"/>
      <c r="H162" s="3"/>
      <c r="I162" s="3"/>
    </row>
    <row r="163" spans="3:9" ht="12.75">
      <c r="C163" s="2"/>
      <c r="F163" s="3"/>
      <c r="G163" s="3"/>
      <c r="H163" s="3"/>
      <c r="I163" s="3"/>
    </row>
    <row r="164" spans="6:9" ht="12.75">
      <c r="F164" s="3"/>
      <c r="G164" s="3"/>
      <c r="H164" s="3"/>
      <c r="I164" s="3"/>
    </row>
    <row r="165" spans="3:9" ht="12.75">
      <c r="C165" s="1"/>
      <c r="F165" s="3"/>
      <c r="G165" s="3"/>
      <c r="H165" s="3"/>
      <c r="I165" s="3"/>
    </row>
    <row r="166" spans="3:9" ht="12.75">
      <c r="C166" s="1"/>
      <c r="F166" s="3"/>
      <c r="G166" s="3"/>
      <c r="H166" s="3"/>
      <c r="I166" s="3"/>
    </row>
    <row r="167" spans="6:9" ht="12.75">
      <c r="F167" s="3"/>
      <c r="G167" s="3"/>
      <c r="H167" s="3"/>
      <c r="I167" s="3"/>
    </row>
  </sheetData>
  <sheetProtection/>
  <mergeCells count="4">
    <mergeCell ref="A14:B14"/>
    <mergeCell ref="A16:B16"/>
    <mergeCell ref="K14:L14"/>
    <mergeCell ref="K16:L16"/>
  </mergeCells>
  <printOptions/>
  <pageMargins left="0.5" right="0.5" top="0.5" bottom="0.5" header="0.5" footer="0.5"/>
  <pageSetup fitToHeight="1" fitToWidth="1" horizontalDpi="300" verticalDpi="300" orientation="portrait" paperSize="3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P3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4.00390625" style="0" bestFit="1" customWidth="1"/>
  </cols>
  <sheetData>
    <row r="19" spans="3:16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3:16" ht="12.75">
      <c r="C21" s="7">
        <v>1</v>
      </c>
      <c r="D21" s="7">
        <v>1</v>
      </c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3:16" ht="12.75"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</row>
    <row r="23" spans="3:16" ht="12.75"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</row>
    <row r="24" spans="3:16" ht="12.75"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</row>
    <row r="25" spans="3:16" ht="12.75"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</row>
    <row r="26" spans="3:16" ht="12.75"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</row>
    <row r="27" spans="3:16" ht="12.75"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</row>
    <row r="28" spans="3:16" ht="12.75"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</row>
    <row r="29" spans="3:16" ht="12.75"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</row>
    <row r="30" spans="3:16" ht="12.75">
      <c r="C30" s="7">
        <v>1</v>
      </c>
      <c r="D30" s="7">
        <v>2</v>
      </c>
      <c r="E30" s="13">
        <v>3</v>
      </c>
      <c r="F30" s="13">
        <v>4</v>
      </c>
      <c r="G30" s="13">
        <v>5</v>
      </c>
      <c r="H30" s="13">
        <v>6</v>
      </c>
      <c r="I30" s="13">
        <v>7</v>
      </c>
      <c r="J30" s="13">
        <v>8</v>
      </c>
      <c r="K30" s="13">
        <v>9</v>
      </c>
      <c r="L30" s="13">
        <v>10</v>
      </c>
      <c r="M30" s="13">
        <v>11</v>
      </c>
      <c r="N30" s="13">
        <v>12</v>
      </c>
      <c r="O30" s="13">
        <v>13</v>
      </c>
      <c r="P30" s="13">
        <v>14</v>
      </c>
    </row>
    <row r="32" spans="1:2" ht="12.75">
      <c r="A32" t="s">
        <v>86</v>
      </c>
      <c r="B32" s="1">
        <f>ROW1+ROW2</f>
        <v>2</v>
      </c>
    </row>
    <row r="33" spans="1:2" ht="12.75">
      <c r="A33" t="s">
        <v>87</v>
      </c>
      <c r="B33" s="1">
        <f>ROW1</f>
        <v>2</v>
      </c>
    </row>
    <row r="34" spans="1:2" ht="12.75">
      <c r="A34" t="s">
        <v>88</v>
      </c>
      <c r="B34" s="1">
        <f>ROW2</f>
        <v>0</v>
      </c>
    </row>
    <row r="35" spans="1:2" ht="12.75">
      <c r="A35" t="s">
        <v>89</v>
      </c>
      <c r="B35" s="1">
        <f>CperROW1</f>
        <v>10</v>
      </c>
    </row>
    <row r="36" spans="1:2" ht="12.75">
      <c r="A36" t="s">
        <v>90</v>
      </c>
      <c r="B36" s="1">
        <f>CperROW2</f>
        <v>0</v>
      </c>
    </row>
    <row r="37" ht="12.75">
      <c r="B37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2023-11-06T10:20:58Z</cp:lastPrinted>
  <dcterms:created xsi:type="dcterms:W3CDTF">2009-01-05T16:36:17Z</dcterms:created>
  <dcterms:modified xsi:type="dcterms:W3CDTF">2023-11-06T10:21:32Z</dcterms:modified>
  <cp:category/>
  <cp:version/>
  <cp:contentType/>
  <cp:contentStatus/>
</cp:coreProperties>
</file>